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75" windowHeight="9975" activeTab="4"/>
  </bookViews>
  <sheets>
    <sheet name="Доп.обр." sheetId="1" r:id="rId1"/>
    <sheet name="Дошк." sheetId="2" r:id="rId2"/>
    <sheet name="школы" sheetId="3" r:id="rId3"/>
    <sheet name="культура" sheetId="4" r:id="rId4"/>
    <sheet name="все сферы" sheetId="5" r:id="rId5"/>
  </sheets>
  <definedNames/>
  <calcPr fullCalcOnLoad="1"/>
</workbook>
</file>

<file path=xl/sharedStrings.xml><?xml version="1.0" encoding="utf-8"?>
<sst xmlns="http://schemas.openxmlformats.org/spreadsheetml/2006/main" count="1024" uniqueCount="302">
  <si>
    <t>№ п/п</t>
  </si>
  <si>
    <t>Наименование показателей</t>
  </si>
  <si>
    <t>Един. измер.</t>
  </si>
  <si>
    <t>1.</t>
  </si>
  <si>
    <t>тыс.руб.</t>
  </si>
  <si>
    <t>2.</t>
  </si>
  <si>
    <t>3.</t>
  </si>
  <si>
    <t>4.</t>
  </si>
  <si>
    <t>единиц</t>
  </si>
  <si>
    <t>5.</t>
  </si>
  <si>
    <t>человек</t>
  </si>
  <si>
    <t>6.</t>
  </si>
  <si>
    <t>7.</t>
  </si>
  <si>
    <t>Среднемесячная номинальная начисленная заработная плата работников **</t>
  </si>
  <si>
    <t>руб.</t>
  </si>
  <si>
    <t>8.</t>
  </si>
  <si>
    <t>9.</t>
  </si>
  <si>
    <t>%</t>
  </si>
  <si>
    <t>10.</t>
  </si>
  <si>
    <t>11.</t>
  </si>
  <si>
    <t xml:space="preserve">Среднегодовая численность постоянного населения </t>
  </si>
  <si>
    <t>12.</t>
  </si>
  <si>
    <t>13.</t>
  </si>
  <si>
    <t>14.</t>
  </si>
  <si>
    <t>Данные за отчетный период</t>
  </si>
  <si>
    <t>Данные за соответ-ствующий отчетный период предыду-щего года</t>
  </si>
  <si>
    <t>% (гр.5/гр.4) прирост, снижение (гр.5-гр.4)</t>
  </si>
  <si>
    <t>% (гр.4/гр.3) прирост, снижение (гр.4-гр.3)</t>
  </si>
  <si>
    <t>Среднегодовая численность детей от 5 до 18 лет, получающих услуги дополнительного образования в муниципальном учреждении</t>
  </si>
  <si>
    <t>Численность лиц, обучающихся в муниципальном учреждении, всего (среднегодовая) *</t>
  </si>
  <si>
    <t>в том числе обучающихся в бюджетных группах</t>
  </si>
  <si>
    <t>Число обучающихся согласно утвержденному муниципальному заданию</t>
  </si>
  <si>
    <t>Фонд начисленной заработной платы (стат.отчет ф.П-4) *</t>
  </si>
  <si>
    <t>Численность учащихся, приходящихся на 1 работающего</t>
  </si>
  <si>
    <t>В том числе приходящегося  на 1 педагогического работника</t>
  </si>
  <si>
    <t>Расходы на дополнительное образование, всего без муниципальных целевых программ (кассовые расходы)</t>
  </si>
  <si>
    <t>Расходы в расчете на 1 ребенка по дополнительному образованию</t>
  </si>
  <si>
    <t>Коэффициент посещаемости по бюджетным группам*</t>
  </si>
  <si>
    <t>Коэффициент посещаемости по группам самоокупаемости*</t>
  </si>
  <si>
    <t>Объем неэффективных расходов по дополнительному образованию</t>
  </si>
  <si>
    <r>
      <t xml:space="preserve">Нэф.доп.=(Умз-Уср)*Рф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где:                        </t>
    </r>
    <r>
      <rPr>
        <b/>
        <sz val="10"/>
        <rFont val="Times New Roman"/>
        <family val="1"/>
      </rPr>
      <t>Нэф.доп</t>
    </r>
    <r>
      <rPr>
        <sz val="10"/>
        <rFont val="Times New Roman"/>
        <family val="1"/>
      </rPr>
      <t xml:space="preserve"> - объем неэффективных расходов по дополнительному образованию                                 </t>
    </r>
    <r>
      <rPr>
        <b/>
        <sz val="10"/>
        <rFont val="Times New Roman"/>
        <family val="1"/>
      </rPr>
      <t>Умз</t>
    </r>
    <r>
      <rPr>
        <sz val="10"/>
        <rFont val="Times New Roman"/>
        <family val="1"/>
      </rPr>
      <t xml:space="preserve">- число обучающихся согласно муниципального задания                                                          </t>
    </r>
    <r>
      <rPr>
        <b/>
        <sz val="10"/>
        <rFont val="Times New Roman"/>
        <family val="1"/>
      </rPr>
      <t>Уср</t>
    </r>
    <r>
      <rPr>
        <sz val="10"/>
        <rFont val="Times New Roman"/>
        <family val="1"/>
      </rPr>
      <t xml:space="preserve">- фактическое среднегодовое число обучающихся                                                                          </t>
    </r>
    <r>
      <rPr>
        <b/>
        <sz val="10"/>
        <rFont val="Times New Roman"/>
        <family val="1"/>
      </rPr>
      <t xml:space="preserve">Рф </t>
    </r>
    <r>
      <rPr>
        <sz val="10"/>
        <rFont val="Times New Roman"/>
        <family val="1"/>
      </rPr>
      <t>- расходы в расчете на 1 ребенка</t>
    </r>
  </si>
  <si>
    <r>
      <t xml:space="preserve">В случае, если  </t>
    </r>
    <r>
      <rPr>
        <b/>
        <sz val="10"/>
        <rFont val="Times New Roman"/>
        <family val="1"/>
      </rPr>
      <t>Умз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Уср</t>
    </r>
    <r>
      <rPr>
        <sz val="10"/>
        <rFont val="Times New Roman"/>
        <family val="1"/>
      </rPr>
      <t xml:space="preserve"> &lt; О неэффективные расходы отсутствуют</t>
    </r>
  </si>
  <si>
    <t xml:space="preserve"> </t>
  </si>
  <si>
    <t>Общее среднегодовое количество педагогических работников *</t>
  </si>
  <si>
    <t>в том числе количество педагогических работников с высшим профессиональным образованием</t>
  </si>
  <si>
    <t>доля лиц с высшим профессиональным образованием в общей численности педагогических работников</t>
  </si>
  <si>
    <t>Данные за соответ-ствующий отчетный период преды-дущего года</t>
  </si>
  <si>
    <t>2.1.</t>
  </si>
  <si>
    <t>2.2.</t>
  </si>
  <si>
    <t>12.1.</t>
  </si>
  <si>
    <t>12.2.</t>
  </si>
  <si>
    <t>обучающихся в группах на платной основе</t>
  </si>
  <si>
    <t>Среднесписочная численность работников, всего (стат.отчет ф.П-4) *</t>
  </si>
  <si>
    <t>Наименование показателя</t>
  </si>
  <si>
    <t>Данные за соответст-вующий отчетный период предыду-щего года</t>
  </si>
  <si>
    <t>Среднегодовая численность детей в детском дошкольном учреждении *</t>
  </si>
  <si>
    <t>в том числе ясельного возраста</t>
  </si>
  <si>
    <t>Среднегодовое количество групп всего*</t>
  </si>
  <si>
    <t>группы</t>
  </si>
  <si>
    <t>в том числе ясельного возраста*</t>
  </si>
  <si>
    <t>Средняя наполняемость групп</t>
  </si>
  <si>
    <t>в том числе групп (кроме групп ясельного возраста и групп для детей с ограниченными возможностями здоровья)</t>
  </si>
  <si>
    <t>ясельных групп</t>
  </si>
  <si>
    <t>Фактическое количество дето-дней</t>
  </si>
  <si>
    <t>дето-дней</t>
  </si>
  <si>
    <t>Коэффициент посещаемости</t>
  </si>
  <si>
    <t>Пропущено дето-дней по болезни</t>
  </si>
  <si>
    <t>в том числе в расчете на 1 ребенка</t>
  </si>
  <si>
    <t>Численность детей, приходящихся на 1 работающего</t>
  </si>
  <si>
    <t>Расходы по учреждению на дошкольное образование, всего (кассовые расходы) без учета муниципальных программ</t>
  </si>
  <si>
    <t>Расходы в расчете на 1 воспитанника дошкольных образовательных учреждений</t>
  </si>
  <si>
    <r>
      <t xml:space="preserve">Объем неэффективных расходов по дошкольному образованию в связи с низкой наполняемостью групп                </t>
    </r>
    <r>
      <rPr>
        <b/>
        <sz val="12"/>
        <rFont val="Times New Roman"/>
        <family val="1"/>
      </rPr>
      <t xml:space="preserve">Нэф дош=                                                        </t>
    </r>
    <r>
      <rPr>
        <b/>
        <sz val="11"/>
        <rFont val="Times New Roman"/>
        <family val="1"/>
      </rPr>
      <t>Нэф дош1+Нэф дош2+Нэф дош3</t>
    </r>
  </si>
  <si>
    <r>
      <t xml:space="preserve">Нэф дош1=(Унорм-Уср) *Кгр*Рф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где:                                                                                                 </t>
    </r>
    <r>
      <rPr>
        <b/>
        <sz val="10"/>
        <rFont val="Times New Roman"/>
        <family val="1"/>
      </rPr>
      <t>Нэф дош1</t>
    </r>
    <r>
      <rPr>
        <sz val="10"/>
        <rFont val="Times New Roman"/>
        <family val="1"/>
      </rPr>
      <t xml:space="preserve">- объем неэффективных расходов по группам детей ясельного возраста                            </t>
    </r>
  </si>
  <si>
    <r>
      <t>Унорм</t>
    </r>
    <r>
      <rPr>
        <sz val="10"/>
        <rFont val="Times New Roman"/>
        <family val="1"/>
      </rPr>
      <t xml:space="preserve">- нормативное число детей на 1 группу данной категории - </t>
    </r>
    <r>
      <rPr>
        <sz val="10"/>
        <color indexed="10"/>
        <rFont val="Times New Roman"/>
        <family val="1"/>
      </rPr>
      <t xml:space="preserve">15 детей </t>
    </r>
    <r>
      <rPr>
        <sz val="10"/>
        <rFont val="Times New Roman"/>
        <family val="1"/>
      </rPr>
      <t xml:space="preserve">                                                                </t>
    </r>
    <r>
      <rPr>
        <b/>
        <sz val="10"/>
        <rFont val="Times New Roman"/>
        <family val="1"/>
      </rPr>
      <t xml:space="preserve">Уср </t>
    </r>
    <r>
      <rPr>
        <sz val="10"/>
        <rFont val="Times New Roman"/>
        <family val="1"/>
      </rPr>
      <t xml:space="preserve">- фактическая среднегодовая наполняемость                                                                          </t>
    </r>
    <r>
      <rPr>
        <b/>
        <sz val="10"/>
        <rFont val="Times New Roman"/>
        <family val="1"/>
      </rPr>
      <t>Кгр</t>
    </r>
    <r>
      <rPr>
        <sz val="10"/>
        <rFont val="Times New Roman"/>
        <family val="1"/>
      </rPr>
      <t xml:space="preserve"> -количество групп данной категории                              </t>
    </r>
  </si>
  <si>
    <r>
      <t xml:space="preserve">Рф </t>
    </r>
    <r>
      <rPr>
        <sz val="10"/>
        <rFont val="Times New Roman"/>
        <family val="1"/>
      </rPr>
      <t>- расходы в расчете на 1 ребенка</t>
    </r>
  </si>
  <si>
    <r>
      <t>Унорм</t>
    </r>
    <r>
      <rPr>
        <sz val="10"/>
        <rFont val="Times New Roman"/>
        <family val="1"/>
      </rPr>
      <t xml:space="preserve">- нормативное число детей на 1 группу данной категории - </t>
    </r>
    <r>
      <rPr>
        <sz val="10"/>
        <color indexed="10"/>
        <rFont val="Times New Roman"/>
        <family val="1"/>
      </rPr>
      <t xml:space="preserve">12 детей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 xml:space="preserve">Уср </t>
    </r>
    <r>
      <rPr>
        <sz val="10"/>
        <rFont val="Times New Roman"/>
        <family val="1"/>
      </rPr>
      <t xml:space="preserve">- фактическая среднегодовая наполняемость                                                                          </t>
    </r>
    <r>
      <rPr>
        <b/>
        <sz val="10"/>
        <rFont val="Times New Roman"/>
        <family val="1"/>
      </rPr>
      <t xml:space="preserve">Кгр </t>
    </r>
    <r>
      <rPr>
        <sz val="10"/>
        <rFont val="Times New Roman"/>
        <family val="1"/>
      </rPr>
      <t xml:space="preserve">-количество групп данной категории                              </t>
    </r>
  </si>
  <si>
    <r>
      <t xml:space="preserve">Нэф дош3=(Унорм-Уср) *Кгр*Рф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где:                                                                                          </t>
    </r>
    <r>
      <rPr>
        <b/>
        <sz val="10"/>
        <rFont val="Times New Roman"/>
        <family val="1"/>
      </rPr>
      <t>Нэф дош</t>
    </r>
    <r>
      <rPr>
        <sz val="10"/>
        <rFont val="Times New Roman"/>
        <family val="1"/>
      </rPr>
      <t xml:space="preserve"> - объем неэффективных расходов по группам детей, кроме групп ясельного возраста и групп для детей с ограниченными возможностями здоровья                              </t>
    </r>
  </si>
  <si>
    <r>
      <t>Унорм</t>
    </r>
    <r>
      <rPr>
        <sz val="10"/>
        <rFont val="Times New Roman"/>
        <family val="1"/>
      </rPr>
      <t xml:space="preserve">- нормативное число детей на 1 группу данной категории - </t>
    </r>
    <r>
      <rPr>
        <sz val="10"/>
        <color indexed="10"/>
        <rFont val="Times New Roman"/>
        <family val="1"/>
      </rPr>
      <t>20 детей</t>
    </r>
    <r>
      <rPr>
        <sz val="10"/>
        <rFont val="Times New Roman"/>
        <family val="1"/>
      </rPr>
      <t xml:space="preserve">                                                              </t>
    </r>
    <r>
      <rPr>
        <b/>
        <sz val="10"/>
        <rFont val="Times New Roman"/>
        <family val="1"/>
      </rPr>
      <t xml:space="preserve">Уср </t>
    </r>
    <r>
      <rPr>
        <sz val="10"/>
        <rFont val="Times New Roman"/>
        <family val="1"/>
      </rPr>
      <t xml:space="preserve">- фактическая среднегодовая наполняемость                                                                          </t>
    </r>
    <r>
      <rPr>
        <b/>
        <sz val="10"/>
        <rFont val="Times New Roman"/>
        <family val="1"/>
      </rPr>
      <t xml:space="preserve">Кгр </t>
    </r>
    <r>
      <rPr>
        <sz val="10"/>
        <rFont val="Times New Roman"/>
        <family val="1"/>
      </rPr>
      <t xml:space="preserve">-количество групп данной категории                                 </t>
    </r>
  </si>
  <si>
    <t>1.1</t>
  </si>
  <si>
    <t>1.2.</t>
  </si>
  <si>
    <t>3.1.</t>
  </si>
  <si>
    <t>3.2</t>
  </si>
  <si>
    <t>3.3.</t>
  </si>
  <si>
    <t>10.1.</t>
  </si>
  <si>
    <t>10.2</t>
  </si>
  <si>
    <t>13.1</t>
  </si>
  <si>
    <t>13.2</t>
  </si>
  <si>
    <t>13.3.</t>
  </si>
  <si>
    <t>детей в группах с ограниченными возможностями здоровья</t>
  </si>
  <si>
    <t>групп для детей с ограниченными возможностями здоровья*</t>
  </si>
  <si>
    <t>групп для детей с ограниченными возможностями здоровья</t>
  </si>
  <si>
    <r>
      <t xml:space="preserve">Нэф дош2=(Унорм-Уср) *Кгр*Рф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где:                                                                          </t>
    </r>
    <r>
      <rPr>
        <b/>
        <sz val="10"/>
        <rFont val="Times New Roman"/>
        <family val="1"/>
      </rPr>
      <t>Нэф дош</t>
    </r>
    <r>
      <rPr>
        <sz val="10"/>
        <rFont val="Times New Roman"/>
        <family val="1"/>
      </rPr>
      <t xml:space="preserve"> - объем неэффективных расхо-дов по группам для детей с ограниченными возможностями здоровья                                 </t>
    </r>
  </si>
  <si>
    <t>Количество классов всего (среднегодовое)*</t>
  </si>
  <si>
    <t>классы</t>
  </si>
  <si>
    <t>1.1.</t>
  </si>
  <si>
    <t>в том числе без учета классов коррекции</t>
  </si>
  <si>
    <t>Численность лиц, обучающихся в образовательных учреждениях (среднегодовая)*</t>
  </si>
  <si>
    <t>в том числе без учета учащихся в классах коррекции</t>
  </si>
  <si>
    <t>Наполняемость классов всего</t>
  </si>
  <si>
    <t>учащихся</t>
  </si>
  <si>
    <t>в том числе без учета в классах коррекции</t>
  </si>
  <si>
    <t>3.2.</t>
  </si>
  <si>
    <t xml:space="preserve"> том числе в классах коррекции</t>
  </si>
  <si>
    <t>Общая среднесписочная численность работников в муниципальном образовательном учреждении всего (стат.отчет ф.П-4) *</t>
  </si>
  <si>
    <t>4.1.</t>
  </si>
  <si>
    <t>в том числе учителей</t>
  </si>
  <si>
    <t>4.1.1.</t>
  </si>
  <si>
    <t>из них учителей, имеющих стаж педагогической работы до 5 лет</t>
  </si>
  <si>
    <t> человек</t>
  </si>
  <si>
    <t>4.2.</t>
  </si>
  <si>
    <t>прочего персонала, работающего в муниципальном образовательном учреждении</t>
  </si>
  <si>
    <t>Среднемесячная номинальная начисленная заработная плата *</t>
  </si>
  <si>
    <t>6.1.</t>
  </si>
  <si>
    <t>учителей</t>
  </si>
  <si>
    <t>6.2.</t>
  </si>
  <si>
    <t>прочего персонала (административно-управленческого, учебно-вспомо-гательного, младшего обслуживающего персонала, педагогических работников, не осуществляющих учебного процесса)</t>
  </si>
  <si>
    <t>Численность лиц, обучающихся в муни-ципальном учреждении, приходящихся на одного работника</t>
  </si>
  <si>
    <t>учеников</t>
  </si>
  <si>
    <t>7.1.</t>
  </si>
  <si>
    <t>в том числе на одного учителя</t>
  </si>
  <si>
    <t>7.2.</t>
  </si>
  <si>
    <t>Всего текущих расходов (за счет всех доходных источников) (кассовые расходы) на общее образование кроме муниципальных целевых программ</t>
  </si>
  <si>
    <t>Расходы на общее образование в расчете на 1 обучающегося</t>
  </si>
  <si>
    <r>
      <t>Средняя стоимость содержания 1 класса</t>
    </r>
    <r>
      <rPr>
        <sz val="11"/>
        <rFont val="Times New Roman"/>
        <family val="1"/>
      </rPr>
      <t xml:space="preserve">, рассчитываемая как отношение текущих расходов бюджета на общее образование (без учета расходов на фонд оплаты труда работников общеобразовательных учреждений) </t>
    </r>
  </si>
  <si>
    <t xml:space="preserve">к общему количеству классов;                                                    </t>
  </si>
  <si>
    <t>рублей</t>
  </si>
  <si>
    <r>
      <t xml:space="preserve">Объем неэффективных расходов управле-ния кадровыми ресурсами= </t>
    </r>
    <r>
      <rPr>
        <b/>
        <sz val="12"/>
        <rFont val="Times New Roman"/>
        <family val="1"/>
      </rPr>
      <t>Опед+О проч</t>
    </r>
  </si>
  <si>
    <t>11.1.</t>
  </si>
  <si>
    <t xml:space="preserve">Неэффективные расходы на управление кадровыми ресурсами  в отношении педагогического персонала (учителя)   </t>
  </si>
  <si>
    <t xml:space="preserve">Опед= (Учф-Чу/Уц) х </t>
  </si>
  <si>
    <r>
      <t xml:space="preserve">(ЗПу х (1 + СВ) х 12 мес.)/1000     </t>
    </r>
    <r>
      <rPr>
        <sz val="10"/>
        <rFont val="Times New Roman"/>
        <family val="1"/>
      </rPr>
      <t>где:</t>
    </r>
  </si>
  <si>
    <r>
      <t xml:space="preserve">Уц </t>
    </r>
    <r>
      <rPr>
        <sz val="11"/>
        <rFont val="Times New Roman"/>
        <family val="1"/>
      </rPr>
      <t xml:space="preserve">- целевое значение численности учени-ков, приходящихся на 1 учителя </t>
    </r>
    <r>
      <rPr>
        <sz val="11"/>
        <color indexed="10"/>
        <rFont val="Times New Roman"/>
        <family val="1"/>
      </rPr>
      <t>(15человек)</t>
    </r>
    <r>
      <rPr>
        <sz val="11"/>
        <rFont val="Times New Roman"/>
        <family val="1"/>
      </rPr>
      <t xml:space="preserve">;                                   </t>
    </r>
  </si>
  <si>
    <r>
      <t>Учф</t>
    </r>
    <r>
      <rPr>
        <sz val="11"/>
        <rFont val="Times New Roman"/>
        <family val="1"/>
      </rPr>
      <t xml:space="preserve"> - общая численность учителей;                                                         </t>
    </r>
    <r>
      <rPr>
        <b/>
        <sz val="11"/>
        <rFont val="Times New Roman"/>
        <family val="1"/>
      </rPr>
      <t>Чу</t>
    </r>
    <r>
      <rPr>
        <sz val="11"/>
        <rFont val="Times New Roman"/>
        <family val="1"/>
      </rPr>
      <t xml:space="preserve"> - численность учеников;                                            </t>
    </r>
    <r>
      <rPr>
        <b/>
        <sz val="11"/>
        <rFont val="Times New Roman"/>
        <family val="1"/>
      </rPr>
      <t>ЗПу</t>
    </r>
    <r>
      <rPr>
        <sz val="11"/>
        <rFont val="Times New Roman"/>
        <family val="1"/>
      </rPr>
      <t xml:space="preserve"> - среднемесячная номинальная начисленная заработная плата учителя;                                        </t>
    </r>
  </si>
  <si>
    <r>
      <t>СВ</t>
    </r>
    <r>
      <rPr>
        <sz val="11"/>
        <rFont val="Times New Roman"/>
        <family val="1"/>
      </rPr>
      <t xml:space="preserve"> - страховые взносы (единиц).          </t>
    </r>
  </si>
  <si>
    <t>Опед рассчитывается при условии, что Учф&gt;Чу/Уц</t>
  </si>
  <si>
    <t>11.2.</t>
  </si>
  <si>
    <t>Неэффективные расходы на управление кадровыми ресурсами в отношении про-чего персонала излишней  численностью прочего персонала</t>
  </si>
  <si>
    <t>Опроч= (Чп0,53хЧу/Уц)х(ЗПи(1+СВ)х</t>
  </si>
  <si>
    <r>
      <t xml:space="preserve">12 мес) /1000    </t>
    </r>
    <r>
      <rPr>
        <sz val="10"/>
        <rFont val="Times New Roman"/>
        <family val="1"/>
      </rPr>
      <t>где:</t>
    </r>
  </si>
  <si>
    <r>
      <t xml:space="preserve">Чп </t>
    </r>
    <r>
      <rPr>
        <sz val="11"/>
        <rFont val="Times New Roman"/>
        <family val="1"/>
      </rPr>
      <t xml:space="preserve">- численность прочего персонала общеобразовательных учреждений;           </t>
    </r>
  </si>
  <si>
    <r>
      <t xml:space="preserve">Уц </t>
    </r>
    <r>
      <rPr>
        <sz val="11"/>
        <rFont val="Times New Roman"/>
        <family val="1"/>
      </rPr>
      <t xml:space="preserve">- целевое значение численности учеников, приходящихся на 1 учителя;     </t>
    </r>
  </si>
  <si>
    <r>
      <t xml:space="preserve">Чу </t>
    </r>
    <r>
      <rPr>
        <sz val="11"/>
        <rFont val="Times New Roman"/>
        <family val="1"/>
      </rPr>
      <t xml:space="preserve">- численность учеников;                                                         </t>
    </r>
    <r>
      <rPr>
        <b/>
        <sz val="11"/>
        <rFont val="Times New Roman"/>
        <family val="1"/>
      </rPr>
      <t>ЗПи</t>
    </r>
    <r>
      <rPr>
        <sz val="11"/>
        <rFont val="Times New Roman"/>
        <family val="1"/>
      </rPr>
      <t xml:space="preserve"> - среднемесячная номинальная начисленная заработная плата прочего персонала;             </t>
    </r>
  </si>
  <si>
    <r>
      <t xml:space="preserve">СВ </t>
    </r>
    <r>
      <rPr>
        <sz val="11"/>
        <rFont val="Times New Roman"/>
        <family val="1"/>
      </rPr>
      <t xml:space="preserve">- страховые взносы (единиц).         </t>
    </r>
  </si>
  <si>
    <t>Опроч рассчитывается при условии, что Чп&gt;0,53хЧу/Уц</t>
  </si>
  <si>
    <r>
      <t xml:space="preserve">Объем неэффективных расходов в связи с низкой наполняемостью классов </t>
    </r>
    <r>
      <rPr>
        <b/>
        <sz val="12"/>
        <rFont val="Times New Roman"/>
        <family val="1"/>
      </rPr>
      <t>Окл=Окл1+Окл2</t>
    </r>
  </si>
  <si>
    <t>Объем неэффективных расходов в связи с низкой наполняемостью классов</t>
  </si>
  <si>
    <t>Окл1=(Чу/Нф-Чу/Нц1)хСк/1000</t>
  </si>
  <si>
    <t>где:</t>
  </si>
  <si>
    <r>
      <t>Нц1</t>
    </r>
    <r>
      <rPr>
        <sz val="11"/>
        <rFont val="Times New Roman"/>
        <family val="1"/>
      </rPr>
      <t xml:space="preserve"> - нормативное значение наполняемости классов (человек) в городской местности </t>
    </r>
  </si>
  <si>
    <t>(25 человек)</t>
  </si>
  <si>
    <r>
      <t>Нф</t>
    </r>
    <r>
      <rPr>
        <sz val="11"/>
        <rFont val="Times New Roman"/>
        <family val="1"/>
      </rPr>
      <t xml:space="preserve"> - фактическая средняя наполняемость классов (человек);</t>
    </r>
  </si>
  <si>
    <r>
      <t xml:space="preserve">Ск </t>
    </r>
    <r>
      <rPr>
        <sz val="11"/>
        <rFont val="Times New Roman"/>
        <family val="1"/>
      </rPr>
      <t>- средняя стоимость содержания одного класса (рублей)</t>
    </r>
  </si>
  <si>
    <r>
      <t>Чу</t>
    </r>
    <r>
      <rPr>
        <sz val="11"/>
        <rFont val="Times New Roman"/>
        <family val="1"/>
      </rPr>
      <t xml:space="preserve"> - численность учеников                  </t>
    </r>
  </si>
  <si>
    <t>Окл2=(Чу/Нф-Чу/Нц2)хСк/1000</t>
  </si>
  <si>
    <r>
      <t>Нц2</t>
    </r>
    <r>
      <rPr>
        <sz val="11"/>
        <rFont val="Times New Roman"/>
        <family val="1"/>
      </rPr>
      <t xml:space="preserve"> - нормативное значение наполняемости коррекционных классов </t>
    </r>
    <r>
      <rPr>
        <sz val="12"/>
        <color indexed="10"/>
        <rFont val="Times New Roman"/>
        <family val="1"/>
      </rPr>
      <t>(12 человек)</t>
    </r>
  </si>
  <si>
    <r>
      <t>Нф</t>
    </r>
    <r>
      <rPr>
        <sz val="11"/>
        <rFont val="Times New Roman"/>
        <family val="1"/>
      </rPr>
      <t xml:space="preserve"> - средняя наполняемость классов (человек);</t>
    </r>
  </si>
  <si>
    <t>Всего неэффективных расходов (гр.11+гр.12)</t>
  </si>
  <si>
    <t>Доля лиц, сдавших ЕГЭ</t>
  </si>
  <si>
    <t>по русскому языку</t>
  </si>
  <si>
    <t>по математике</t>
  </si>
  <si>
    <t>15.</t>
  </si>
  <si>
    <t>Численность выпускников</t>
  </si>
  <si>
    <t>16.</t>
  </si>
  <si>
    <t>Доля выпускников, не получивших аттестат о среднем образовании</t>
  </si>
  <si>
    <t>17.</t>
  </si>
  <si>
    <t>Доля детей первой и второй групп здо-ровья в общей численности обучаю-щихся в муниципальных общеобра-зовательных учреждениях (процентов)</t>
  </si>
  <si>
    <t>14.1</t>
  </si>
  <si>
    <t>14.2</t>
  </si>
  <si>
    <t xml:space="preserve">             человек</t>
  </si>
  <si>
    <t>Численность населения, участвующего в платных культурно-досуговых мероприятиях, организованных администрацией города (муниципальными учреждениями)</t>
  </si>
  <si>
    <t>в том числе специалистов</t>
  </si>
  <si>
    <t>из них - с высшим образованием</t>
  </si>
  <si>
    <t>Расходы по учреждению на культуру всего (кассовые расходы)</t>
  </si>
  <si>
    <t>Общий объем расходов бюджета на культуру в расчете на одного жителя города</t>
  </si>
  <si>
    <t>Получено доходов от оказания платных услуг</t>
  </si>
  <si>
    <t>Динамика основных показателей работы (количество читателей, книговыдача, количество посещений музея, количество мероприятий и т.д.) - расшифровать</t>
  </si>
  <si>
    <t>Доля населения, участвующего в платных культурно-досуговых мероприятиях, организованных администрацией города (муниципальными учреждениями)</t>
  </si>
  <si>
    <t>Наличие просроченной кредиторской задолженности на отчетную дату</t>
  </si>
  <si>
    <t xml:space="preserve">Доля просроченной кредиторской задолженности по оплате труда (включая начисления на оплату труда) </t>
  </si>
  <si>
    <t>Наличие дебиторской задолженности на отчетную дату</t>
  </si>
  <si>
    <t>в том числе за счет средств родительской платы</t>
  </si>
  <si>
    <t>Общее количество  муниципальных услуг, предоставляемых  органами местного самоуправления и муниципальными учреждениями</t>
  </si>
  <si>
    <t>Количество муниципальных услуг, предоставляемых органами местного самоуправления и муниципальными учреждениями в электронном виде</t>
  </si>
  <si>
    <t>Общий объем расходов бюджета по учреждению</t>
  </si>
  <si>
    <t>на оплату труда и начисления на оплату труда (211, 213 КОСГУ)</t>
  </si>
  <si>
    <t>Расходы бюджета, формируемые в рамках программ</t>
  </si>
  <si>
    <t xml:space="preserve">Доля расходов, формируемых в рамках программ в общем объеме расходов </t>
  </si>
  <si>
    <t>Количество потребления энергетических ресурсов всего:</t>
  </si>
  <si>
    <t>тепловая энергия</t>
  </si>
  <si>
    <t>Г/кал</t>
  </si>
  <si>
    <t>электрическая энергия</t>
  </si>
  <si>
    <t xml:space="preserve"> тыс.квт.час.</t>
  </si>
  <si>
    <t>вода</t>
  </si>
  <si>
    <t>куб.м.</t>
  </si>
  <si>
    <t>Лимит потребления энергетических ресурсов всего:</t>
  </si>
  <si>
    <t xml:space="preserve">   тыс.квт.час.</t>
  </si>
  <si>
    <t>Общая площадь зданий</t>
  </si>
  <si>
    <t>кв.метр.</t>
  </si>
  <si>
    <t>Удельная величина потребления энергетических ресурсов из расчета на 1 кв.м. общей площади</t>
  </si>
  <si>
    <t>Удельная величина потребления энергетических ресурсов из расчета на 1 человека</t>
  </si>
  <si>
    <t xml:space="preserve">Обеспечение безопасности в процессе функционирования учреждения:                                                                                                                                                                                                                          </t>
  </si>
  <si>
    <t>отсут-ствие случаев</t>
  </si>
  <si>
    <t xml:space="preserve">отсутствие нарушений пожарной безопасности  </t>
  </si>
  <si>
    <t xml:space="preserve">отсутствие нарушений санитарно-эпидемиологического законодательства    </t>
  </si>
  <si>
    <t>Размещение муниципального заказа на закупку основных средств, выполнение работ, услуг в соответствии с Федеральным законом от 21.07.2005 № 94-ФЗ «О размещении заказов на поставки товаров, выполнение работ, оказание услуг для государственных и муниципальных нужд» по кодам бюджетной классификации:</t>
  </si>
  <si>
    <t>225, 226, 310 и 340</t>
  </si>
  <si>
    <t>Предусмотрено бюджетных ассигнований</t>
  </si>
  <si>
    <t>Объем муниципальных закупок посредством конкурсных процедур</t>
  </si>
  <si>
    <t>Своевременность размещения информации на сайте муниципального учреждения</t>
  </si>
  <si>
    <t>18.</t>
  </si>
  <si>
    <t>Наличие информации в печатных и электронных средствах массовой информации о показателях работы, предоставляемых услугах и их качестве</t>
  </si>
  <si>
    <t>19.</t>
  </si>
  <si>
    <t>Соблюдение (несоблюдение) постановления администрации города Слободского от 23.04.2012 №85 «Об утверждении Положения о порядке оказания платных услуг муниципальными учреждениями города Слободского»</t>
  </si>
  <si>
    <t>20.</t>
  </si>
  <si>
    <t>Наличие недостач и хищений денежных средств и материальных ценностей</t>
  </si>
  <si>
    <t>21.</t>
  </si>
  <si>
    <t>Принятие обязательств, не обеспеченных бюджетными ассигнованиями</t>
  </si>
  <si>
    <t>количество случаев</t>
  </si>
  <si>
    <t>22.</t>
  </si>
  <si>
    <t>Наличие неэффективных расходов</t>
  </si>
  <si>
    <t>23.</t>
  </si>
  <si>
    <t>Соблюдение лимитов по фонду оплаты труда</t>
  </si>
  <si>
    <t>2.1</t>
  </si>
  <si>
    <t>2.2</t>
  </si>
  <si>
    <t>2.3</t>
  </si>
  <si>
    <t>возмещения расходов арендаторами</t>
  </si>
  <si>
    <t>по средствам от оказания платных услуг</t>
  </si>
  <si>
    <t>Доля муниципальных услуг, предоставляемых в электронном виде, в общем объеме муниципальных услуг</t>
  </si>
  <si>
    <t xml:space="preserve">в том числе - на увеличение стоимости основных средств </t>
  </si>
  <si>
    <t>Количество потребления энергети-ческих ресурсов, расчеты за которые осуществляются на основании показаний приборов учета:</t>
  </si>
  <si>
    <t>отсутствие чрезвычайных ситуаций</t>
  </si>
  <si>
    <t>СЮТур</t>
  </si>
  <si>
    <t>СЮТех</t>
  </si>
  <si>
    <t>ДХШ</t>
  </si>
  <si>
    <t>ДШИ</t>
  </si>
  <si>
    <t>ДЮСШ</t>
  </si>
  <si>
    <t>ДДТ</t>
  </si>
  <si>
    <t>Преды-дущий период</t>
  </si>
  <si>
    <t>Отчет-ный период</t>
  </si>
  <si>
    <t>Колобок</t>
  </si>
  <si>
    <t>Звездочка</t>
  </si>
  <si>
    <t>Колокольчик</t>
  </si>
  <si>
    <t>Зол.ключик</t>
  </si>
  <si>
    <t>Аленушка</t>
  </si>
  <si>
    <t>Крепыш</t>
  </si>
  <si>
    <t>Родничок</t>
  </si>
  <si>
    <t>№ 16</t>
  </si>
  <si>
    <t>Тополек</t>
  </si>
  <si>
    <t>Березка</t>
  </si>
  <si>
    <t>Огонек</t>
  </si>
  <si>
    <t>Солнышко</t>
  </si>
  <si>
    <t>Зол.петушок</t>
  </si>
  <si>
    <t>Гимназия</t>
  </si>
  <si>
    <t>Школа-интернат</t>
  </si>
  <si>
    <t>№ 7</t>
  </si>
  <si>
    <t>Лицей</t>
  </si>
  <si>
    <t>№ 14</t>
  </si>
  <si>
    <t>№ 5</t>
  </si>
  <si>
    <t>на одного работающего                                                                                                           из числа прочего персонала</t>
  </si>
  <si>
    <t>предыдущий период</t>
  </si>
  <si>
    <t>отчётный период</t>
  </si>
  <si>
    <t>Дом культуры</t>
  </si>
  <si>
    <t>Музей</t>
  </si>
  <si>
    <t>Библиотека</t>
  </si>
  <si>
    <t>Среднесписочная численность работников всего (стат.отчет ф.П-4) *</t>
  </si>
  <si>
    <t>Дума</t>
  </si>
  <si>
    <t>Город</t>
  </si>
  <si>
    <t>ФУ</t>
  </si>
  <si>
    <t xml:space="preserve">отсутствие нарушений по охране труда и технике безопасности;   </t>
  </si>
  <si>
    <t>-</t>
  </si>
  <si>
    <t>да</t>
  </si>
  <si>
    <t>нет</t>
  </si>
  <si>
    <t>-количество читателей</t>
  </si>
  <si>
    <t>-книговыдача</t>
  </si>
  <si>
    <t>-количество посещений</t>
  </si>
  <si>
    <t>тыс.квт.ч</t>
  </si>
  <si>
    <t>есть</t>
  </si>
  <si>
    <t>Д/сад "Колокольчик"</t>
  </si>
  <si>
    <t>Д/сад "Крепыш"</t>
  </si>
  <si>
    <t>Д/сад "Колобок"</t>
  </si>
  <si>
    <t>Д/сад №16</t>
  </si>
  <si>
    <t>Д/сад "Огонёк"</t>
  </si>
  <si>
    <t>Д/сад "Родничок"</t>
  </si>
  <si>
    <t>Д/сад "Аленушка"</t>
  </si>
  <si>
    <t>Д/сад "Тополёк"</t>
  </si>
  <si>
    <t>Д/сад "Березка"</t>
  </si>
  <si>
    <t>Д/сад "Золотой ключик"</t>
  </si>
  <si>
    <t>Д/сад "Звездочка"</t>
  </si>
  <si>
    <t>Д/сад "Солнышко"</t>
  </si>
  <si>
    <t>Д/сад "Золотой петушок"</t>
  </si>
  <si>
    <t xml:space="preserve">% (гр.5/гр.4) </t>
  </si>
  <si>
    <t xml:space="preserve">Отчет о выполнении показателей эффективности деятельности органов местного самоуправления и муниципальных учреждений всех сфер деятельности                                                                                                                                            за 2012 год </t>
  </si>
  <si>
    <t xml:space="preserve">% (гр.4/гр.3) </t>
  </si>
  <si>
    <t>прирост, снижение (гр.4-гр.3)</t>
  </si>
  <si>
    <t>-количество мероприятий</t>
  </si>
  <si>
    <t>СЮТ</t>
  </si>
  <si>
    <t xml:space="preserve"> прирост, снижение (гр.5-гр.4)</t>
  </si>
  <si>
    <t>кол-во баллов</t>
  </si>
  <si>
    <t xml:space="preserve">Отчет о выполнении показателей оценки эффективности деятельности учреждений дополнительного образования детей за 2012 год                                                                                </t>
  </si>
  <si>
    <t xml:space="preserve">Отчет о выполнении показателей оценки эффективности деятельности учреждений дошкольного образования детей за 2012 год                                                                           </t>
  </si>
  <si>
    <t xml:space="preserve">Отчет о выполнении показателей оценки эффективности деятельности учреждений общего образования за 2012 год                                                                    </t>
  </si>
  <si>
    <t xml:space="preserve">Отчет                                                                                                                                                                     о выполнении показателей оценки эффективности деятельности учреждений культуры за 2012 год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</si>
</sst>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68" fontId="3" fillId="0" borderId="10" xfId="0" applyNumberFormat="1" applyFont="1" applyBorder="1" applyAlignment="1">
      <alignment wrapText="1"/>
    </xf>
    <xf numFmtId="168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8" fontId="3" fillId="0" borderId="11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/>
    </xf>
    <xf numFmtId="168" fontId="3" fillId="0" borderId="12" xfId="0" applyNumberFormat="1" applyFont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8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8" fontId="3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8" fontId="3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68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8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8" fontId="3" fillId="0" borderId="11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68" fontId="3" fillId="0" borderId="11" xfId="0" applyNumberFormat="1" applyFont="1" applyFill="1" applyBorder="1" applyAlignment="1">
      <alignment horizontal="center"/>
    </xf>
    <xf numFmtId="168" fontId="3" fillId="0" borderId="14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3" fillId="0" borderId="13" xfId="0" applyNumberFormat="1" applyFont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168" fontId="3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168" fontId="3" fillId="0" borderId="12" xfId="0" applyNumberFormat="1" applyFont="1" applyBorder="1" applyAlignment="1">
      <alignment wrapText="1"/>
    </xf>
    <xf numFmtId="168" fontId="3" fillId="0" borderId="21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68" fontId="3" fillId="0" borderId="11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21" xfId="0" applyBorder="1" applyAlignment="1">
      <alignment wrapText="1"/>
    </xf>
    <xf numFmtId="0" fontId="3" fillId="0" borderId="15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68" fontId="3" fillId="0" borderId="10" xfId="0" applyNumberFormat="1" applyFont="1" applyFill="1" applyBorder="1" applyAlignment="1">
      <alignment wrapText="1"/>
    </xf>
    <xf numFmtId="1" fontId="3" fillId="0" borderId="12" xfId="0" applyNumberFormat="1" applyFont="1" applyBorder="1" applyAlignment="1">
      <alignment wrapText="1"/>
    </xf>
    <xf numFmtId="1" fontId="0" fillId="0" borderId="21" xfId="0" applyNumberForma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pane xSplit="5" ySplit="4" topLeftCell="F2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L23" sqref="L23"/>
    </sheetView>
  </sheetViews>
  <sheetFormatPr defaultColWidth="9.00390625" defaultRowHeight="12.75"/>
  <cols>
    <col min="1" max="1" width="5.125" style="0" customWidth="1"/>
    <col min="2" max="2" width="34.625" style="0" customWidth="1"/>
    <col min="3" max="3" width="6.75390625" style="0" customWidth="1"/>
    <col min="4" max="4" width="7.00390625" style="0" customWidth="1"/>
    <col min="5" max="5" width="3.375" style="0" customWidth="1"/>
    <col min="6" max="6" width="6.00390625" style="0" customWidth="1"/>
    <col min="7" max="7" width="6.75390625" style="0" customWidth="1"/>
    <col min="8" max="8" width="7.625" style="0" customWidth="1"/>
    <col min="9" max="9" width="4.375" style="0" customWidth="1"/>
    <col min="10" max="10" width="10.375" style="0" customWidth="1"/>
    <col min="11" max="27" width="9.125" style="35" customWidth="1"/>
    <col min="28" max="28" width="9.125" style="1" customWidth="1"/>
  </cols>
  <sheetData>
    <row r="1" spans="1:27" ht="28.5" customHeight="1">
      <c r="A1" s="95" t="s">
        <v>298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10" ht="20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28" ht="24.75" customHeight="1">
      <c r="A3" s="74" t="s">
        <v>0</v>
      </c>
      <c r="B3" s="74" t="s">
        <v>1</v>
      </c>
      <c r="C3" s="74"/>
      <c r="D3" s="74" t="s">
        <v>2</v>
      </c>
      <c r="E3" s="74"/>
      <c r="F3" s="74" t="s">
        <v>46</v>
      </c>
      <c r="G3" s="74"/>
      <c r="H3" s="74" t="s">
        <v>24</v>
      </c>
      <c r="I3" s="74"/>
      <c r="J3" s="74" t="s">
        <v>27</v>
      </c>
      <c r="K3" s="103" t="s">
        <v>231</v>
      </c>
      <c r="L3" s="104"/>
      <c r="M3" s="105"/>
      <c r="N3" s="103" t="s">
        <v>232</v>
      </c>
      <c r="O3" s="104"/>
      <c r="P3" s="105"/>
      <c r="Q3" s="103" t="s">
        <v>233</v>
      </c>
      <c r="R3" s="104"/>
      <c r="S3" s="105"/>
      <c r="T3" s="103" t="s">
        <v>234</v>
      </c>
      <c r="U3" s="104"/>
      <c r="V3" s="105"/>
      <c r="W3" s="103" t="s">
        <v>235</v>
      </c>
      <c r="X3" s="104"/>
      <c r="Y3" s="105"/>
      <c r="Z3" s="106" t="s">
        <v>236</v>
      </c>
      <c r="AA3" s="106"/>
      <c r="AB3" s="107"/>
    </row>
    <row r="4" spans="1:28" ht="85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36" t="s">
        <v>237</v>
      </c>
      <c r="L4" s="36" t="s">
        <v>238</v>
      </c>
      <c r="M4" s="55" t="s">
        <v>297</v>
      </c>
      <c r="N4" s="36" t="s">
        <v>237</v>
      </c>
      <c r="O4" s="36" t="s">
        <v>238</v>
      </c>
      <c r="P4" s="55" t="s">
        <v>297</v>
      </c>
      <c r="Q4" s="36" t="s">
        <v>237</v>
      </c>
      <c r="R4" s="36" t="s">
        <v>238</v>
      </c>
      <c r="S4" s="55" t="s">
        <v>297</v>
      </c>
      <c r="T4" s="36" t="s">
        <v>237</v>
      </c>
      <c r="U4" s="36" t="s">
        <v>238</v>
      </c>
      <c r="V4" s="55" t="s">
        <v>297</v>
      </c>
      <c r="W4" s="36" t="s">
        <v>237</v>
      </c>
      <c r="X4" s="36" t="s">
        <v>238</v>
      </c>
      <c r="Y4" s="55" t="s">
        <v>297</v>
      </c>
      <c r="Z4" s="36" t="s">
        <v>237</v>
      </c>
      <c r="AA4" s="36" t="s">
        <v>238</v>
      </c>
      <c r="AB4" s="55" t="s">
        <v>297</v>
      </c>
    </row>
    <row r="5" spans="1:28" ht="61.5" customHeight="1">
      <c r="A5" s="8" t="s">
        <v>3</v>
      </c>
      <c r="B5" s="78" t="s">
        <v>28</v>
      </c>
      <c r="C5" s="78"/>
      <c r="D5" s="74" t="s">
        <v>10</v>
      </c>
      <c r="E5" s="74"/>
      <c r="F5" s="78">
        <f aca="true" t="shared" si="0" ref="F5:F11">K5+N5+Q5+T5+W5+Z5</f>
        <v>3503</v>
      </c>
      <c r="G5" s="78"/>
      <c r="H5" s="78">
        <f aca="true" t="shared" si="1" ref="H5:H11">L5+O5+R5+U5+X5+AA5</f>
        <v>3521</v>
      </c>
      <c r="I5" s="78"/>
      <c r="J5" s="23"/>
      <c r="K5" s="32">
        <v>362</v>
      </c>
      <c r="L5" s="32">
        <v>322</v>
      </c>
      <c r="M5" s="32"/>
      <c r="N5" s="32">
        <v>277</v>
      </c>
      <c r="O5" s="32">
        <v>242</v>
      </c>
      <c r="P5" s="32"/>
      <c r="Q5" s="32">
        <v>213</v>
      </c>
      <c r="R5" s="32">
        <v>222</v>
      </c>
      <c r="S5" s="32"/>
      <c r="T5" s="32">
        <v>431</v>
      </c>
      <c r="U5" s="32">
        <v>428</v>
      </c>
      <c r="V5" s="32"/>
      <c r="W5" s="32">
        <v>665</v>
      </c>
      <c r="X5" s="32">
        <v>718</v>
      </c>
      <c r="Y5" s="32"/>
      <c r="Z5" s="32">
        <v>1555</v>
      </c>
      <c r="AA5" s="32">
        <v>1589</v>
      </c>
      <c r="AB5" s="13"/>
    </row>
    <row r="6" spans="1:28" ht="47.25" customHeight="1">
      <c r="A6" s="8" t="s">
        <v>5</v>
      </c>
      <c r="B6" s="78" t="s">
        <v>29</v>
      </c>
      <c r="C6" s="78"/>
      <c r="D6" s="74" t="s">
        <v>10</v>
      </c>
      <c r="E6" s="74"/>
      <c r="F6" s="78">
        <f t="shared" si="0"/>
        <v>3521</v>
      </c>
      <c r="G6" s="78"/>
      <c r="H6" s="78">
        <f t="shared" si="1"/>
        <v>3556</v>
      </c>
      <c r="I6" s="78"/>
      <c r="J6" s="23"/>
      <c r="K6" s="32">
        <f aca="true" t="shared" si="2" ref="K6:R6">K7+K8</f>
        <v>362</v>
      </c>
      <c r="L6" s="32">
        <f t="shared" si="2"/>
        <v>322</v>
      </c>
      <c r="M6" s="32">
        <v>0</v>
      </c>
      <c r="N6" s="32">
        <f t="shared" si="2"/>
        <v>277</v>
      </c>
      <c r="O6" s="32">
        <f t="shared" si="2"/>
        <v>242</v>
      </c>
      <c r="P6" s="32">
        <v>0</v>
      </c>
      <c r="Q6" s="32">
        <v>213</v>
      </c>
      <c r="R6" s="32">
        <f t="shared" si="2"/>
        <v>221</v>
      </c>
      <c r="S6" s="32">
        <v>2</v>
      </c>
      <c r="T6" s="32">
        <v>431</v>
      </c>
      <c r="U6" s="32">
        <v>428</v>
      </c>
      <c r="V6" s="32">
        <v>0</v>
      </c>
      <c r="W6" s="32">
        <v>683</v>
      </c>
      <c r="X6" s="32">
        <v>754</v>
      </c>
      <c r="Y6" s="32">
        <v>2</v>
      </c>
      <c r="Z6" s="32">
        <f>Z7+Z8</f>
        <v>1555</v>
      </c>
      <c r="AA6" s="32">
        <f>AA7+AA8</f>
        <v>1589</v>
      </c>
      <c r="AB6" s="13">
        <v>2</v>
      </c>
    </row>
    <row r="7" spans="1:28" ht="31.5" customHeight="1">
      <c r="A7" s="16" t="s">
        <v>47</v>
      </c>
      <c r="B7" s="110" t="s">
        <v>30</v>
      </c>
      <c r="C7" s="110"/>
      <c r="D7" s="74" t="s">
        <v>10</v>
      </c>
      <c r="E7" s="74"/>
      <c r="F7" s="78">
        <f t="shared" si="0"/>
        <v>3164</v>
      </c>
      <c r="G7" s="78"/>
      <c r="H7" s="78">
        <f t="shared" si="1"/>
        <v>3130</v>
      </c>
      <c r="I7" s="78"/>
      <c r="J7" s="23"/>
      <c r="K7" s="32">
        <v>362</v>
      </c>
      <c r="L7" s="32">
        <v>322</v>
      </c>
      <c r="M7" s="32"/>
      <c r="N7" s="32">
        <v>277</v>
      </c>
      <c r="O7" s="32">
        <v>242</v>
      </c>
      <c r="P7" s="32"/>
      <c r="Q7" s="32">
        <v>144</v>
      </c>
      <c r="R7" s="32">
        <v>153</v>
      </c>
      <c r="S7" s="32"/>
      <c r="T7" s="32">
        <v>354</v>
      </c>
      <c r="U7" s="32">
        <v>340</v>
      </c>
      <c r="V7" s="32"/>
      <c r="W7" s="32">
        <v>668</v>
      </c>
      <c r="X7" s="32">
        <v>690</v>
      </c>
      <c r="Y7" s="32"/>
      <c r="Z7" s="32">
        <v>1359</v>
      </c>
      <c r="AA7" s="32">
        <v>1383</v>
      </c>
      <c r="AB7" s="13"/>
    </row>
    <row r="8" spans="1:28" ht="29.25" customHeight="1">
      <c r="A8" s="16" t="s">
        <v>48</v>
      </c>
      <c r="B8" s="110" t="s">
        <v>51</v>
      </c>
      <c r="C8" s="110"/>
      <c r="D8" s="93" t="s">
        <v>10</v>
      </c>
      <c r="E8" s="94"/>
      <c r="F8" s="78">
        <f t="shared" si="0"/>
        <v>356</v>
      </c>
      <c r="G8" s="78"/>
      <c r="H8" s="78">
        <f t="shared" si="1"/>
        <v>426</v>
      </c>
      <c r="I8" s="78"/>
      <c r="J8" s="23"/>
      <c r="K8" s="32">
        <v>0</v>
      </c>
      <c r="L8" s="32">
        <v>0</v>
      </c>
      <c r="M8" s="32"/>
      <c r="N8" s="32">
        <v>0</v>
      </c>
      <c r="O8" s="32">
        <v>0</v>
      </c>
      <c r="P8" s="32"/>
      <c r="Q8" s="32">
        <v>68</v>
      </c>
      <c r="R8" s="32">
        <v>68</v>
      </c>
      <c r="S8" s="32"/>
      <c r="T8" s="32">
        <v>77</v>
      </c>
      <c r="U8" s="32">
        <v>88</v>
      </c>
      <c r="V8" s="32"/>
      <c r="W8" s="32">
        <v>15</v>
      </c>
      <c r="X8" s="32">
        <v>64</v>
      </c>
      <c r="Y8" s="32"/>
      <c r="Z8" s="32">
        <v>196</v>
      </c>
      <c r="AA8" s="32">
        <v>206</v>
      </c>
      <c r="AB8" s="13"/>
    </row>
    <row r="9" spans="1:28" ht="46.5" customHeight="1">
      <c r="A9" s="8" t="s">
        <v>6</v>
      </c>
      <c r="B9" s="78" t="s">
        <v>31</v>
      </c>
      <c r="C9" s="78"/>
      <c r="D9" s="74" t="s">
        <v>10</v>
      </c>
      <c r="E9" s="74"/>
      <c r="F9" s="78">
        <f t="shared" si="0"/>
        <v>3131</v>
      </c>
      <c r="G9" s="78"/>
      <c r="H9" s="78">
        <f t="shared" si="1"/>
        <v>3140</v>
      </c>
      <c r="I9" s="78"/>
      <c r="J9" s="23"/>
      <c r="K9" s="32">
        <v>286</v>
      </c>
      <c r="L9" s="32">
        <v>360</v>
      </c>
      <c r="M9" s="32">
        <v>0</v>
      </c>
      <c r="N9" s="32">
        <v>276</v>
      </c>
      <c r="O9" s="32">
        <v>280</v>
      </c>
      <c r="P9" s="32">
        <v>0</v>
      </c>
      <c r="Q9" s="32">
        <v>172</v>
      </c>
      <c r="R9" s="32">
        <v>172</v>
      </c>
      <c r="S9" s="32">
        <v>0</v>
      </c>
      <c r="T9" s="32">
        <v>356</v>
      </c>
      <c r="U9" s="32">
        <v>340</v>
      </c>
      <c r="V9" s="32">
        <v>0</v>
      </c>
      <c r="W9" s="32">
        <v>611</v>
      </c>
      <c r="X9" s="32">
        <v>648</v>
      </c>
      <c r="Y9" s="32">
        <v>0</v>
      </c>
      <c r="Z9" s="32">
        <v>1430</v>
      </c>
      <c r="AA9" s="32">
        <v>1340</v>
      </c>
      <c r="AB9" s="13">
        <v>0</v>
      </c>
    </row>
    <row r="10" spans="1:28" ht="31.5" customHeight="1">
      <c r="A10" s="8" t="s">
        <v>7</v>
      </c>
      <c r="B10" s="78" t="s">
        <v>52</v>
      </c>
      <c r="C10" s="78"/>
      <c r="D10" s="74" t="s">
        <v>10</v>
      </c>
      <c r="E10" s="74"/>
      <c r="F10" s="78">
        <f t="shared" si="0"/>
        <v>207.8</v>
      </c>
      <c r="G10" s="78"/>
      <c r="H10" s="78">
        <f t="shared" si="1"/>
        <v>207.09999999999997</v>
      </c>
      <c r="I10" s="78"/>
      <c r="J10" s="23"/>
      <c r="K10" s="32">
        <v>12</v>
      </c>
      <c r="L10" s="32">
        <v>12.7</v>
      </c>
      <c r="M10" s="32"/>
      <c r="N10" s="32">
        <v>13.9</v>
      </c>
      <c r="O10" s="32">
        <v>13.2</v>
      </c>
      <c r="P10" s="32"/>
      <c r="Q10" s="32">
        <v>13.2</v>
      </c>
      <c r="R10" s="32">
        <v>13.2</v>
      </c>
      <c r="S10" s="32"/>
      <c r="T10" s="32">
        <v>54</v>
      </c>
      <c r="U10" s="32">
        <v>53</v>
      </c>
      <c r="V10" s="32"/>
      <c r="W10" s="32">
        <v>72.2</v>
      </c>
      <c r="X10" s="32">
        <v>71.3</v>
      </c>
      <c r="Y10" s="32"/>
      <c r="Z10" s="32">
        <v>42.5</v>
      </c>
      <c r="AA10" s="32">
        <v>43.7</v>
      </c>
      <c r="AB10" s="13"/>
    </row>
    <row r="11" spans="1:28" ht="31.5" customHeight="1">
      <c r="A11" s="8" t="s">
        <v>9</v>
      </c>
      <c r="B11" s="78" t="s">
        <v>32</v>
      </c>
      <c r="C11" s="78"/>
      <c r="D11" s="74" t="s">
        <v>4</v>
      </c>
      <c r="E11" s="74"/>
      <c r="F11" s="78">
        <f t="shared" si="0"/>
        <v>24010.600000000002</v>
      </c>
      <c r="G11" s="78"/>
      <c r="H11" s="78">
        <f t="shared" si="1"/>
        <v>28430.3</v>
      </c>
      <c r="I11" s="78"/>
      <c r="J11" s="23"/>
      <c r="K11" s="32">
        <v>1214.6</v>
      </c>
      <c r="L11" s="32">
        <v>1470.3</v>
      </c>
      <c r="M11" s="32"/>
      <c r="N11" s="32">
        <v>1399.5</v>
      </c>
      <c r="O11" s="32">
        <v>1632.4</v>
      </c>
      <c r="P11" s="32"/>
      <c r="Q11" s="32">
        <v>1391.2</v>
      </c>
      <c r="R11" s="32">
        <v>1898</v>
      </c>
      <c r="S11" s="32"/>
      <c r="T11" s="32">
        <v>6585.5</v>
      </c>
      <c r="U11" s="32">
        <v>8071.5</v>
      </c>
      <c r="V11" s="32"/>
      <c r="W11" s="32">
        <v>8529.6</v>
      </c>
      <c r="X11" s="32">
        <v>9607.9</v>
      </c>
      <c r="Y11" s="32"/>
      <c r="Z11" s="32">
        <v>4890.2</v>
      </c>
      <c r="AA11" s="32">
        <v>5750.2</v>
      </c>
      <c r="AB11" s="13"/>
    </row>
    <row r="12" spans="1:28" ht="46.5" customHeight="1">
      <c r="A12" s="8" t="s">
        <v>11</v>
      </c>
      <c r="B12" s="78" t="s">
        <v>13</v>
      </c>
      <c r="C12" s="78"/>
      <c r="D12" s="74" t="s">
        <v>14</v>
      </c>
      <c r="E12" s="74"/>
      <c r="F12" s="118">
        <f>(F11/F10)/6*1000</f>
        <v>19257.77991658646</v>
      </c>
      <c r="G12" s="118"/>
      <c r="H12" s="118">
        <f>(H11/H10)/6*1000</f>
        <v>22879.68775148882</v>
      </c>
      <c r="I12" s="118"/>
      <c r="J12" s="23"/>
      <c r="K12" s="34">
        <f aca="true" t="shared" si="3" ref="K12:R12">(K11/K10)/12*1000</f>
        <v>8434.722222222223</v>
      </c>
      <c r="L12" s="34">
        <f t="shared" si="3"/>
        <v>9647.63779527559</v>
      </c>
      <c r="M12" s="34"/>
      <c r="N12" s="34">
        <f t="shared" si="3"/>
        <v>8390.28776978417</v>
      </c>
      <c r="O12" s="34">
        <f t="shared" si="3"/>
        <v>10305.555555555557</v>
      </c>
      <c r="P12" s="34"/>
      <c r="Q12" s="34">
        <f t="shared" si="3"/>
        <v>8782.828282828285</v>
      </c>
      <c r="R12" s="34">
        <f t="shared" si="3"/>
        <v>11982.323232323231</v>
      </c>
      <c r="S12" s="34"/>
      <c r="T12" s="34">
        <f aca="true" t="shared" si="4" ref="T12:AA12">(T11/T10)/12*1000</f>
        <v>10162.808641975309</v>
      </c>
      <c r="U12" s="34">
        <f t="shared" si="4"/>
        <v>12691.037735849057</v>
      </c>
      <c r="V12" s="34"/>
      <c r="W12" s="34">
        <f t="shared" si="4"/>
        <v>9844.875346260387</v>
      </c>
      <c r="X12" s="34">
        <f t="shared" si="4"/>
        <v>11229.429640018701</v>
      </c>
      <c r="Y12" s="34"/>
      <c r="Z12" s="34">
        <f t="shared" si="4"/>
        <v>9588.627450980392</v>
      </c>
      <c r="AA12" s="34">
        <f t="shared" si="4"/>
        <v>10965.293668954993</v>
      </c>
      <c r="AB12" s="13"/>
    </row>
    <row r="13" spans="1:28" ht="31.5" customHeight="1">
      <c r="A13" s="77" t="s">
        <v>12</v>
      </c>
      <c r="B13" s="78" t="s">
        <v>33</v>
      </c>
      <c r="C13" s="78"/>
      <c r="D13" s="74" t="s">
        <v>10</v>
      </c>
      <c r="E13" s="74"/>
      <c r="F13" s="85">
        <f>F6/F10</f>
        <v>16.944177093359</v>
      </c>
      <c r="G13" s="85"/>
      <c r="H13" s="85">
        <f>H6/H10</f>
        <v>17.170449058425884</v>
      </c>
      <c r="I13" s="85"/>
      <c r="J13" s="23"/>
      <c r="K13" s="37">
        <f aca="true" t="shared" si="5" ref="K13:AA13">K6/K10</f>
        <v>30.166666666666668</v>
      </c>
      <c r="L13" s="37">
        <f t="shared" si="5"/>
        <v>25.35433070866142</v>
      </c>
      <c r="M13" s="37"/>
      <c r="N13" s="37">
        <f t="shared" si="5"/>
        <v>19.928057553956833</v>
      </c>
      <c r="O13" s="37">
        <f t="shared" si="5"/>
        <v>18.333333333333336</v>
      </c>
      <c r="P13" s="37"/>
      <c r="Q13" s="37">
        <f t="shared" si="5"/>
        <v>16.136363636363637</v>
      </c>
      <c r="R13" s="37">
        <f t="shared" si="5"/>
        <v>16.742424242424242</v>
      </c>
      <c r="S13" s="37"/>
      <c r="T13" s="37">
        <f t="shared" si="5"/>
        <v>7.981481481481482</v>
      </c>
      <c r="U13" s="37">
        <v>8</v>
      </c>
      <c r="V13" s="37"/>
      <c r="W13" s="37">
        <f t="shared" si="5"/>
        <v>9.45983379501385</v>
      </c>
      <c r="X13" s="37">
        <f t="shared" si="5"/>
        <v>10.575035063113605</v>
      </c>
      <c r="Y13" s="37"/>
      <c r="Z13" s="37">
        <f t="shared" si="5"/>
        <v>36.588235294117645</v>
      </c>
      <c r="AA13" s="37">
        <f t="shared" si="5"/>
        <v>36.36155606407323</v>
      </c>
      <c r="AB13" s="13"/>
    </row>
    <row r="14" spans="1:28" ht="31.5" customHeight="1">
      <c r="A14" s="77"/>
      <c r="B14" s="78" t="s">
        <v>34</v>
      </c>
      <c r="C14" s="78"/>
      <c r="D14" s="74" t="s">
        <v>10</v>
      </c>
      <c r="E14" s="74"/>
      <c r="F14" s="85">
        <f>F6/F22</f>
        <v>30.913081650570675</v>
      </c>
      <c r="G14" s="85"/>
      <c r="H14" s="85">
        <f>H6/H22</f>
        <v>32.774193548387096</v>
      </c>
      <c r="I14" s="85"/>
      <c r="J14" s="23"/>
      <c r="K14" s="37">
        <f>K6/K22</f>
        <v>30.166666666666668</v>
      </c>
      <c r="L14" s="37">
        <f>L6/L22</f>
        <v>29.272727272727273</v>
      </c>
      <c r="M14" s="37"/>
      <c r="N14" s="37">
        <f>N6/N22</f>
        <v>39.57142857142857</v>
      </c>
      <c r="O14" s="37">
        <f>O6/O22</f>
        <v>48.4</v>
      </c>
      <c r="P14" s="37"/>
      <c r="Q14" s="37">
        <f>Q6/Q22</f>
        <v>38.72727272727273</v>
      </c>
      <c r="R14" s="37">
        <f aca="true" t="shared" si="6" ref="R14:AA14">R6/R22</f>
        <v>38.771929824561404</v>
      </c>
      <c r="S14" s="37"/>
      <c r="T14" s="37">
        <v>11</v>
      </c>
      <c r="U14" s="37">
        <v>11</v>
      </c>
      <c r="V14" s="37"/>
      <c r="W14" s="37">
        <f t="shared" si="6"/>
        <v>26.26923076923077</v>
      </c>
      <c r="X14" s="37">
        <f t="shared" si="6"/>
        <v>31.416666666666668</v>
      </c>
      <c r="Y14" s="37"/>
      <c r="Z14" s="37">
        <f t="shared" si="6"/>
        <v>66.45299145299145</v>
      </c>
      <c r="AA14" s="37">
        <f t="shared" si="6"/>
        <v>66.76470588235294</v>
      </c>
      <c r="AB14" s="13"/>
    </row>
    <row r="15" spans="1:28" ht="47.25" customHeight="1">
      <c r="A15" s="8" t="s">
        <v>15</v>
      </c>
      <c r="B15" s="78" t="s">
        <v>35</v>
      </c>
      <c r="C15" s="78"/>
      <c r="D15" s="74" t="s">
        <v>4</v>
      </c>
      <c r="E15" s="74"/>
      <c r="F15" s="78">
        <f>K15+N15+Q15+T15+W15+Z15</f>
        <v>44012.899999999994</v>
      </c>
      <c r="G15" s="78"/>
      <c r="H15" s="78">
        <f>L15+O15+R15+U15+X15+AA15</f>
        <v>49925.2</v>
      </c>
      <c r="I15" s="78"/>
      <c r="J15" s="23"/>
      <c r="K15" s="32">
        <v>1959.6</v>
      </c>
      <c r="L15" s="32">
        <v>2516.9</v>
      </c>
      <c r="M15" s="32"/>
      <c r="N15" s="32">
        <v>2283.5</v>
      </c>
      <c r="O15" s="32">
        <v>2751</v>
      </c>
      <c r="P15" s="32"/>
      <c r="Q15" s="32">
        <v>2569.5</v>
      </c>
      <c r="R15" s="32">
        <v>2969.7</v>
      </c>
      <c r="S15" s="32"/>
      <c r="T15" s="32">
        <v>10102</v>
      </c>
      <c r="U15" s="32">
        <v>11834.9</v>
      </c>
      <c r="V15" s="32"/>
      <c r="W15" s="32">
        <v>18793</v>
      </c>
      <c r="X15" s="32">
        <v>20606</v>
      </c>
      <c r="Y15" s="32"/>
      <c r="Z15" s="32">
        <v>8305.3</v>
      </c>
      <c r="AA15" s="32">
        <v>9246.7</v>
      </c>
      <c r="AB15" s="13"/>
    </row>
    <row r="16" spans="1:28" ht="31.5" customHeight="1">
      <c r="A16" s="8" t="s">
        <v>16</v>
      </c>
      <c r="B16" s="78" t="s">
        <v>36</v>
      </c>
      <c r="C16" s="78"/>
      <c r="D16" s="74" t="s">
        <v>4</v>
      </c>
      <c r="E16" s="74"/>
      <c r="F16" s="85">
        <f>F15/F6</f>
        <v>12.500113604089746</v>
      </c>
      <c r="G16" s="85"/>
      <c r="H16" s="85">
        <f>H15/H6</f>
        <v>14.039707536557929</v>
      </c>
      <c r="I16" s="85"/>
      <c r="J16" s="23"/>
      <c r="K16" s="37">
        <f>K15/K6</f>
        <v>5.413259668508287</v>
      </c>
      <c r="L16" s="37">
        <f>L15/L6</f>
        <v>7.816459627329193</v>
      </c>
      <c r="M16" s="37"/>
      <c r="N16" s="37">
        <f>N15/N6</f>
        <v>8.243682310469314</v>
      </c>
      <c r="O16" s="37">
        <f>O15/O6</f>
        <v>11.367768595041323</v>
      </c>
      <c r="P16" s="37"/>
      <c r="Q16" s="37">
        <f>Q15/Q6</f>
        <v>12.06338028169014</v>
      </c>
      <c r="R16" s="37">
        <f aca="true" t="shared" si="7" ref="R16:AA16">R15/R6</f>
        <v>13.437556561085971</v>
      </c>
      <c r="S16" s="37"/>
      <c r="T16" s="37">
        <f t="shared" si="7"/>
        <v>23.438515081206496</v>
      </c>
      <c r="U16" s="37">
        <f t="shared" si="7"/>
        <v>27.65163551401869</v>
      </c>
      <c r="V16" s="37"/>
      <c r="W16" s="37">
        <f t="shared" si="7"/>
        <v>27.51537335285505</v>
      </c>
      <c r="X16" s="37">
        <f t="shared" si="7"/>
        <v>27.3289124668435</v>
      </c>
      <c r="Y16" s="37"/>
      <c r="Z16" s="37">
        <f t="shared" si="7"/>
        <v>5.341028938906752</v>
      </c>
      <c r="AA16" s="37">
        <f t="shared" si="7"/>
        <v>5.81919446192574</v>
      </c>
      <c r="AB16" s="13"/>
    </row>
    <row r="17" spans="1:28" ht="31.5" customHeight="1">
      <c r="A17" s="77" t="s">
        <v>18</v>
      </c>
      <c r="B17" s="84" t="s">
        <v>37</v>
      </c>
      <c r="C17" s="84"/>
      <c r="D17" s="74" t="s">
        <v>8</v>
      </c>
      <c r="E17" s="74"/>
      <c r="F17" s="85">
        <f>(K17+N17+Q17+T17+W17+Z17)/6</f>
        <v>80.05</v>
      </c>
      <c r="G17" s="85"/>
      <c r="H17" s="85">
        <f>(L17+O17+R17+U17+X17+AA17)/6</f>
        <v>97.95</v>
      </c>
      <c r="I17" s="85"/>
      <c r="J17" s="23"/>
      <c r="K17" s="32">
        <v>96.3</v>
      </c>
      <c r="L17" s="32">
        <v>97.5</v>
      </c>
      <c r="M17" s="32">
        <v>0</v>
      </c>
      <c r="N17" s="32">
        <v>87</v>
      </c>
      <c r="O17" s="32">
        <v>95</v>
      </c>
      <c r="P17" s="32">
        <v>0</v>
      </c>
      <c r="Q17" s="32">
        <v>97</v>
      </c>
      <c r="R17" s="32">
        <v>98</v>
      </c>
      <c r="S17" s="32">
        <v>0</v>
      </c>
      <c r="T17" s="32">
        <v>100</v>
      </c>
      <c r="U17" s="32">
        <v>100</v>
      </c>
      <c r="V17" s="32">
        <v>2</v>
      </c>
      <c r="W17" s="32">
        <v>100</v>
      </c>
      <c r="X17" s="32">
        <v>100</v>
      </c>
      <c r="Y17" s="32">
        <v>2</v>
      </c>
      <c r="Z17" s="32"/>
      <c r="AA17" s="32">
        <v>97.2</v>
      </c>
      <c r="AB17" s="13">
        <v>0</v>
      </c>
    </row>
    <row r="18" spans="1:28" ht="31.5" customHeight="1">
      <c r="A18" s="77"/>
      <c r="B18" s="84" t="s">
        <v>38</v>
      </c>
      <c r="C18" s="84"/>
      <c r="D18" s="74"/>
      <c r="E18" s="74"/>
      <c r="F18" s="78"/>
      <c r="G18" s="78"/>
      <c r="H18" s="78"/>
      <c r="I18" s="78"/>
      <c r="J18" s="23"/>
      <c r="K18" s="32"/>
      <c r="L18" s="32"/>
      <c r="M18" s="32"/>
      <c r="N18" s="32"/>
      <c r="O18" s="32"/>
      <c r="P18" s="32"/>
      <c r="Q18" s="32">
        <v>0.93</v>
      </c>
      <c r="R18" s="32">
        <v>0.99</v>
      </c>
      <c r="S18" s="32"/>
      <c r="T18" s="32">
        <v>1.28</v>
      </c>
      <c r="U18" s="32">
        <v>1.46</v>
      </c>
      <c r="V18" s="32"/>
      <c r="W18" s="32">
        <v>1</v>
      </c>
      <c r="X18" s="32">
        <v>1</v>
      </c>
      <c r="Y18" s="32"/>
      <c r="Z18" s="32"/>
      <c r="AA18" s="32"/>
      <c r="AB18" s="13"/>
    </row>
    <row r="19" spans="1:28" ht="31.5" customHeight="1">
      <c r="A19" s="77" t="s">
        <v>19</v>
      </c>
      <c r="B19" s="78" t="s">
        <v>39</v>
      </c>
      <c r="C19" s="78"/>
      <c r="D19" s="74" t="s">
        <v>4</v>
      </c>
      <c r="E19" s="74"/>
      <c r="F19" s="115"/>
      <c r="G19" s="116"/>
      <c r="H19" s="117"/>
      <c r="I19" s="117"/>
      <c r="J19" s="23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13"/>
    </row>
    <row r="20" spans="1:28" ht="105" customHeight="1">
      <c r="A20" s="77"/>
      <c r="B20" s="79" t="s">
        <v>40</v>
      </c>
      <c r="C20" s="79"/>
      <c r="D20" s="74" t="s">
        <v>42</v>
      </c>
      <c r="E20" s="74"/>
      <c r="F20" s="85">
        <f>(F9-F7)*F16</f>
        <v>-412.5037489349616</v>
      </c>
      <c r="G20" s="85"/>
      <c r="H20" s="85">
        <f>(H9-H7)*H16</f>
        <v>140.3970753655793</v>
      </c>
      <c r="I20" s="85"/>
      <c r="J20" s="114"/>
      <c r="K20" s="119">
        <v>0</v>
      </c>
      <c r="L20" s="119">
        <f aca="true" t="shared" si="8" ref="L20:R20">(L9-L7)*L16</f>
        <v>297.0254658385093</v>
      </c>
      <c r="M20" s="45"/>
      <c r="N20" s="119">
        <v>0</v>
      </c>
      <c r="O20" s="119">
        <f t="shared" si="8"/>
        <v>431.9752066115703</v>
      </c>
      <c r="P20" s="45"/>
      <c r="Q20" s="119">
        <f>(Q9-Q7)*Q16</f>
        <v>337.7746478873239</v>
      </c>
      <c r="R20" s="119">
        <f t="shared" si="8"/>
        <v>255.31357466063346</v>
      </c>
      <c r="S20" s="45"/>
      <c r="T20" s="119">
        <f>(T9-T7)*T16</f>
        <v>46.87703016241299</v>
      </c>
      <c r="U20" s="119">
        <f>(U9-U7)*U16</f>
        <v>0</v>
      </c>
      <c r="V20" s="45"/>
      <c r="W20" s="119">
        <v>0</v>
      </c>
      <c r="X20" s="119">
        <v>0</v>
      </c>
      <c r="Y20" s="45"/>
      <c r="Z20" s="119">
        <f>(Z9-Z7)*Z16</f>
        <v>379.2130546623794</v>
      </c>
      <c r="AA20" s="119">
        <v>0</v>
      </c>
      <c r="AB20" s="108"/>
    </row>
    <row r="21" spans="1:28" ht="25.5" customHeight="1">
      <c r="A21" s="77"/>
      <c r="B21" s="86" t="s">
        <v>41</v>
      </c>
      <c r="C21" s="86"/>
      <c r="D21" s="74"/>
      <c r="E21" s="74"/>
      <c r="F21" s="85"/>
      <c r="G21" s="85"/>
      <c r="H21" s="85"/>
      <c r="I21" s="85"/>
      <c r="J21" s="114"/>
      <c r="K21" s="120"/>
      <c r="L21" s="120"/>
      <c r="M21" s="47"/>
      <c r="N21" s="120"/>
      <c r="O21" s="120"/>
      <c r="P21" s="47"/>
      <c r="Q21" s="120"/>
      <c r="R21" s="120"/>
      <c r="S21" s="47"/>
      <c r="T21" s="120"/>
      <c r="U21" s="120"/>
      <c r="V21" s="47"/>
      <c r="W21" s="120"/>
      <c r="X21" s="120"/>
      <c r="Y21" s="47"/>
      <c r="Z21" s="120"/>
      <c r="AA21" s="120"/>
      <c r="AB21" s="109"/>
    </row>
    <row r="22" spans="1:28" ht="31.5" customHeight="1">
      <c r="A22" s="8" t="s">
        <v>21</v>
      </c>
      <c r="B22" s="78" t="s">
        <v>43</v>
      </c>
      <c r="C22" s="78"/>
      <c r="D22" s="74" t="s">
        <v>10</v>
      </c>
      <c r="E22" s="74"/>
      <c r="F22" s="78">
        <f>K22+N22+Q22+T22+W22+Z22</f>
        <v>113.9</v>
      </c>
      <c r="G22" s="78"/>
      <c r="H22" s="78">
        <f>L22+O22+R22+U22+X22+AA22</f>
        <v>108.5</v>
      </c>
      <c r="I22" s="78"/>
      <c r="J22" s="24"/>
      <c r="K22" s="32">
        <v>12</v>
      </c>
      <c r="L22" s="32">
        <v>11</v>
      </c>
      <c r="M22" s="32"/>
      <c r="N22" s="32">
        <v>7</v>
      </c>
      <c r="O22" s="32">
        <v>5</v>
      </c>
      <c r="P22" s="32"/>
      <c r="Q22" s="32">
        <v>5.5</v>
      </c>
      <c r="R22" s="32">
        <v>5.7</v>
      </c>
      <c r="S22" s="32"/>
      <c r="T22" s="32">
        <v>40</v>
      </c>
      <c r="U22" s="32">
        <v>39</v>
      </c>
      <c r="V22" s="32"/>
      <c r="W22" s="32">
        <v>26</v>
      </c>
      <c r="X22" s="32">
        <v>24</v>
      </c>
      <c r="Y22" s="32"/>
      <c r="Z22" s="32">
        <v>23.4</v>
      </c>
      <c r="AA22" s="32">
        <v>23.8</v>
      </c>
      <c r="AB22" s="13"/>
    </row>
    <row r="23" spans="1:28" ht="47.25" customHeight="1">
      <c r="A23" s="16" t="s">
        <v>49</v>
      </c>
      <c r="B23" s="110" t="s">
        <v>44</v>
      </c>
      <c r="C23" s="110"/>
      <c r="D23" s="74" t="s">
        <v>10</v>
      </c>
      <c r="E23" s="74"/>
      <c r="F23" s="78">
        <f>K23+N23+Q23+T23+W23+Z23</f>
        <v>65.5</v>
      </c>
      <c r="G23" s="78"/>
      <c r="H23" s="78">
        <f>L23+O23+R23+U23+X23+AA23</f>
        <v>56.8</v>
      </c>
      <c r="I23" s="78"/>
      <c r="J23" s="24"/>
      <c r="K23" s="32">
        <v>9</v>
      </c>
      <c r="L23" s="32">
        <v>4</v>
      </c>
      <c r="M23" s="32"/>
      <c r="N23" s="32">
        <v>6</v>
      </c>
      <c r="O23" s="32">
        <v>5</v>
      </c>
      <c r="P23" s="32"/>
      <c r="Q23" s="32">
        <v>4</v>
      </c>
      <c r="R23" s="32">
        <v>4</v>
      </c>
      <c r="S23" s="32"/>
      <c r="T23" s="32">
        <v>14</v>
      </c>
      <c r="U23" s="32">
        <v>14</v>
      </c>
      <c r="V23" s="32"/>
      <c r="W23" s="32">
        <v>22</v>
      </c>
      <c r="X23" s="32">
        <v>19</v>
      </c>
      <c r="Y23" s="32"/>
      <c r="Z23" s="32">
        <v>10.5</v>
      </c>
      <c r="AA23" s="32">
        <v>10.8</v>
      </c>
      <c r="AB23" s="13"/>
    </row>
    <row r="24" spans="1:28" ht="47.25" customHeight="1">
      <c r="A24" s="16" t="s">
        <v>50</v>
      </c>
      <c r="B24" s="110" t="s">
        <v>45</v>
      </c>
      <c r="C24" s="110"/>
      <c r="D24" s="74" t="s">
        <v>17</v>
      </c>
      <c r="E24" s="74"/>
      <c r="F24" s="85">
        <f>F23/F22*100</f>
        <v>57.50658472344161</v>
      </c>
      <c r="G24" s="85"/>
      <c r="H24" s="85">
        <f>H23/H22*100</f>
        <v>52.35023041474655</v>
      </c>
      <c r="I24" s="85"/>
      <c r="J24" s="24"/>
      <c r="K24" s="37">
        <f aca="true" t="shared" si="9" ref="K24:R24">K23/K22*100</f>
        <v>75</v>
      </c>
      <c r="L24" s="37">
        <f t="shared" si="9"/>
        <v>36.36363636363637</v>
      </c>
      <c r="M24" s="37"/>
      <c r="N24" s="37">
        <f t="shared" si="9"/>
        <v>85.71428571428571</v>
      </c>
      <c r="O24" s="37">
        <f t="shared" si="9"/>
        <v>100</v>
      </c>
      <c r="P24" s="37">
        <v>2</v>
      </c>
      <c r="Q24" s="37">
        <f t="shared" si="9"/>
        <v>72.72727272727273</v>
      </c>
      <c r="R24" s="37">
        <f t="shared" si="9"/>
        <v>70.17543859649122</v>
      </c>
      <c r="S24" s="37">
        <v>2</v>
      </c>
      <c r="T24" s="37">
        <f aca="true" t="shared" si="10" ref="T24:AA24">T23/T22*100</f>
        <v>35</v>
      </c>
      <c r="U24" s="37">
        <v>36</v>
      </c>
      <c r="V24" s="37"/>
      <c r="W24" s="37">
        <f t="shared" si="10"/>
        <v>84.61538461538461</v>
      </c>
      <c r="X24" s="37">
        <f t="shared" si="10"/>
        <v>79.16666666666666</v>
      </c>
      <c r="Y24" s="37">
        <v>2</v>
      </c>
      <c r="Z24" s="37">
        <f t="shared" si="10"/>
        <v>44.871794871794876</v>
      </c>
      <c r="AA24" s="37">
        <f t="shared" si="10"/>
        <v>45.378151260504204</v>
      </c>
      <c r="AB24" s="13"/>
    </row>
    <row r="25" spans="1:28" ht="15.75">
      <c r="A25" s="3"/>
      <c r="B25" s="111"/>
      <c r="C25" s="111"/>
      <c r="D25" s="112"/>
      <c r="E25" s="112"/>
      <c r="F25" s="113"/>
      <c r="G25" s="113"/>
      <c r="H25" s="102"/>
      <c r="I25" s="102"/>
      <c r="J25" s="11"/>
      <c r="M25" s="35">
        <f>SUM(M5:M24)</f>
        <v>0</v>
      </c>
      <c r="P25" s="35">
        <f>SUM(P5:P24)</f>
        <v>2</v>
      </c>
      <c r="S25" s="35">
        <f>SUM(S5:S24)</f>
        <v>4</v>
      </c>
      <c r="V25" s="35">
        <f>SUM(V5:V24)</f>
        <v>2</v>
      </c>
      <c r="Y25" s="35">
        <f>SUM(Y5:Y24)</f>
        <v>6</v>
      </c>
      <c r="AB25" s="35">
        <f>SUM(AB5:AB24)</f>
        <v>2</v>
      </c>
    </row>
    <row r="26" spans="1:10" ht="12.7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27" ht="53.2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</row>
    <row r="28" spans="1:10" ht="15.75">
      <c r="A28" s="2"/>
      <c r="B28" s="2"/>
      <c r="C28" s="76"/>
      <c r="D28" s="76"/>
      <c r="E28" s="76"/>
      <c r="F28" s="76"/>
      <c r="G28" s="76"/>
      <c r="H28" s="76"/>
      <c r="I28" s="76"/>
      <c r="J28" s="76"/>
    </row>
    <row r="29" spans="1:10" ht="15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2"/>
      <c r="B30" s="2"/>
      <c r="C30" s="76"/>
      <c r="D30" s="76"/>
      <c r="E30" s="76"/>
      <c r="F30" s="76"/>
      <c r="G30" s="76"/>
      <c r="H30" s="76"/>
      <c r="I30" s="76"/>
      <c r="J30" s="76"/>
    </row>
    <row r="31" spans="1:10" ht="15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</sheetData>
  <sheetProtection sheet="1"/>
  <mergeCells count="124">
    <mergeCell ref="Q20:Q21"/>
    <mergeCell ref="R20:R21"/>
    <mergeCell ref="T20:T21"/>
    <mergeCell ref="U20:U21"/>
    <mergeCell ref="J3:J4"/>
    <mergeCell ref="H3:I4"/>
    <mergeCell ref="K3:M3"/>
    <mergeCell ref="N3:P3"/>
    <mergeCell ref="Q3:S3"/>
    <mergeCell ref="T3:V3"/>
    <mergeCell ref="A1:AA1"/>
    <mergeCell ref="A27:AA27"/>
    <mergeCell ref="K20:K21"/>
    <mergeCell ref="L20:L21"/>
    <mergeCell ref="N20:N21"/>
    <mergeCell ref="O20:O21"/>
    <mergeCell ref="F3:G4"/>
    <mergeCell ref="D3:E4"/>
    <mergeCell ref="B3:C4"/>
    <mergeCell ref="A3:A4"/>
    <mergeCell ref="W20:W21"/>
    <mergeCell ref="X20:X21"/>
    <mergeCell ref="B7:C7"/>
    <mergeCell ref="D7:E7"/>
    <mergeCell ref="F7:G7"/>
    <mergeCell ref="H7:I7"/>
    <mergeCell ref="F8:G8"/>
    <mergeCell ref="H8:I8"/>
    <mergeCell ref="B9:C9"/>
    <mergeCell ref="D9:E9"/>
    <mergeCell ref="Z20:Z21"/>
    <mergeCell ref="AA20:AA21"/>
    <mergeCell ref="B5:C5"/>
    <mergeCell ref="D5:E5"/>
    <mergeCell ref="F5:G5"/>
    <mergeCell ref="H5:I5"/>
    <mergeCell ref="B6:C6"/>
    <mergeCell ref="D6:E6"/>
    <mergeCell ref="F6:G6"/>
    <mergeCell ref="H6:I6"/>
    <mergeCell ref="F9:G9"/>
    <mergeCell ref="H9:I9"/>
    <mergeCell ref="B8:C8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A13:A14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A17:A18"/>
    <mergeCell ref="B17:C17"/>
    <mergeCell ref="D17:E18"/>
    <mergeCell ref="F17:G17"/>
    <mergeCell ref="H17:I17"/>
    <mergeCell ref="B18:C18"/>
    <mergeCell ref="F18:G18"/>
    <mergeCell ref="H18:I18"/>
    <mergeCell ref="A19:A21"/>
    <mergeCell ref="B19:C19"/>
    <mergeCell ref="D19:E19"/>
    <mergeCell ref="F19:G19"/>
    <mergeCell ref="H19:I19"/>
    <mergeCell ref="B20:C20"/>
    <mergeCell ref="B21:C21"/>
    <mergeCell ref="D20:E21"/>
    <mergeCell ref="F20:G21"/>
    <mergeCell ref="H20:I21"/>
    <mergeCell ref="D22:E22"/>
    <mergeCell ref="F22:G22"/>
    <mergeCell ref="H22:I22"/>
    <mergeCell ref="I28:J28"/>
    <mergeCell ref="B23:C23"/>
    <mergeCell ref="D23:E23"/>
    <mergeCell ref="F23:G23"/>
    <mergeCell ref="H23:I23"/>
    <mergeCell ref="G30:H30"/>
    <mergeCell ref="I30:J30"/>
    <mergeCell ref="A26:J26"/>
    <mergeCell ref="B25:C25"/>
    <mergeCell ref="D25:E25"/>
    <mergeCell ref="F25:G25"/>
    <mergeCell ref="G28:H28"/>
    <mergeCell ref="W3:Y3"/>
    <mergeCell ref="Z3:AB3"/>
    <mergeCell ref="AB20:AB21"/>
    <mergeCell ref="B24:C24"/>
    <mergeCell ref="D24:E24"/>
    <mergeCell ref="F24:G24"/>
    <mergeCell ref="H24:I24"/>
    <mergeCell ref="J20:J21"/>
    <mergeCell ref="B22:C22"/>
    <mergeCell ref="A31:H31"/>
    <mergeCell ref="I31:J31"/>
    <mergeCell ref="D8:E8"/>
    <mergeCell ref="A29:H29"/>
    <mergeCell ref="I29:J29"/>
    <mergeCell ref="C30:D30"/>
    <mergeCell ref="E30:F30"/>
    <mergeCell ref="H25:I25"/>
    <mergeCell ref="C28:D28"/>
    <mergeCell ref="E28:F2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0"/>
  <sheetViews>
    <sheetView zoomScalePageLayoutView="0" workbookViewId="0" topLeftCell="A1">
      <pane xSplit="5" ySplit="4" topLeftCell="F2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N25" sqref="N25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6.75390625" style="0" customWidth="1"/>
    <col min="4" max="4" width="5.75390625" style="0" customWidth="1"/>
    <col min="5" max="5" width="4.375" style="0" customWidth="1"/>
    <col min="6" max="6" width="8.75390625" style="0" customWidth="1"/>
    <col min="7" max="7" width="3.375" style="0" customWidth="1"/>
    <col min="8" max="8" width="5.75390625" style="0" customWidth="1"/>
    <col min="9" max="9" width="5.00390625" style="0" customWidth="1"/>
    <col min="10" max="11" width="10.875" style="0" customWidth="1"/>
    <col min="12" max="12" width="10.125" style="35" bestFit="1" customWidth="1"/>
    <col min="13" max="17" width="9.125" style="35" customWidth="1"/>
    <col min="18" max="20" width="9.125" style="1" customWidth="1"/>
    <col min="21" max="49" width="9.125" style="35" customWidth="1"/>
    <col min="50" max="53" width="9.125" style="1" customWidth="1"/>
  </cols>
  <sheetData>
    <row r="1" spans="1:49" ht="28.5" customHeight="1">
      <c r="A1" s="95" t="s">
        <v>299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</row>
    <row r="2" spans="1:11" ht="12.7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50" ht="15.75" customHeight="1">
      <c r="A3" s="74" t="s">
        <v>0</v>
      </c>
      <c r="B3" s="74" t="s">
        <v>53</v>
      </c>
      <c r="C3" s="74"/>
      <c r="D3" s="74" t="s">
        <v>2</v>
      </c>
      <c r="E3" s="74"/>
      <c r="F3" s="74" t="s">
        <v>54</v>
      </c>
      <c r="G3" s="74"/>
      <c r="H3" s="74" t="s">
        <v>24</v>
      </c>
      <c r="I3" s="74"/>
      <c r="J3" s="74" t="s">
        <v>290</v>
      </c>
      <c r="K3" s="74" t="s">
        <v>296</v>
      </c>
      <c r="L3" s="103" t="s">
        <v>239</v>
      </c>
      <c r="M3" s="104"/>
      <c r="N3" s="105"/>
      <c r="O3" s="103" t="s">
        <v>240</v>
      </c>
      <c r="P3" s="104"/>
      <c r="Q3" s="105"/>
      <c r="R3" s="121" t="s">
        <v>241</v>
      </c>
      <c r="S3" s="122"/>
      <c r="T3" s="105"/>
      <c r="U3" s="103" t="s">
        <v>249</v>
      </c>
      <c r="V3" s="104"/>
      <c r="W3" s="105"/>
      <c r="X3" s="103" t="s">
        <v>250</v>
      </c>
      <c r="Y3" s="104"/>
      <c r="Z3" s="105"/>
      <c r="AA3" s="103" t="s">
        <v>251</v>
      </c>
      <c r="AB3" s="104"/>
      <c r="AC3" s="105"/>
      <c r="AD3" s="103" t="s">
        <v>242</v>
      </c>
      <c r="AE3" s="104"/>
      <c r="AF3" s="105"/>
      <c r="AG3" s="103" t="s">
        <v>243</v>
      </c>
      <c r="AH3" s="104"/>
      <c r="AI3" s="105"/>
      <c r="AJ3" s="103" t="s">
        <v>244</v>
      </c>
      <c r="AK3" s="104"/>
      <c r="AL3" s="105"/>
      <c r="AM3" s="103" t="s">
        <v>245</v>
      </c>
      <c r="AN3" s="104"/>
      <c r="AO3" s="105"/>
      <c r="AP3" s="103" t="s">
        <v>248</v>
      </c>
      <c r="AQ3" s="104"/>
      <c r="AR3" s="105"/>
      <c r="AS3" s="103" t="s">
        <v>246</v>
      </c>
      <c r="AT3" s="104"/>
      <c r="AU3" s="105"/>
      <c r="AV3" s="106" t="s">
        <v>247</v>
      </c>
      <c r="AW3" s="106"/>
      <c r="AX3" s="107"/>
    </row>
    <row r="4" spans="1:50" ht="98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36" t="s">
        <v>237</v>
      </c>
      <c r="M4" s="36" t="s">
        <v>238</v>
      </c>
      <c r="N4" s="55" t="s">
        <v>297</v>
      </c>
      <c r="O4" s="36" t="s">
        <v>237</v>
      </c>
      <c r="P4" s="36" t="s">
        <v>238</v>
      </c>
      <c r="Q4" s="55" t="s">
        <v>297</v>
      </c>
      <c r="R4" s="7" t="s">
        <v>237</v>
      </c>
      <c r="S4" s="7" t="s">
        <v>238</v>
      </c>
      <c r="T4" s="55" t="s">
        <v>297</v>
      </c>
      <c r="U4" s="36" t="s">
        <v>237</v>
      </c>
      <c r="V4" s="36" t="s">
        <v>238</v>
      </c>
      <c r="W4" s="55" t="s">
        <v>297</v>
      </c>
      <c r="X4" s="36" t="s">
        <v>237</v>
      </c>
      <c r="Y4" s="36" t="s">
        <v>238</v>
      </c>
      <c r="Z4" s="55" t="s">
        <v>297</v>
      </c>
      <c r="AA4" s="36" t="s">
        <v>237</v>
      </c>
      <c r="AB4" s="36" t="s">
        <v>238</v>
      </c>
      <c r="AC4" s="55" t="s">
        <v>297</v>
      </c>
      <c r="AD4" s="36" t="s">
        <v>237</v>
      </c>
      <c r="AE4" s="36" t="s">
        <v>238</v>
      </c>
      <c r="AF4" s="55" t="s">
        <v>297</v>
      </c>
      <c r="AG4" s="36" t="s">
        <v>237</v>
      </c>
      <c r="AH4" s="36" t="s">
        <v>238</v>
      </c>
      <c r="AI4" s="55" t="s">
        <v>297</v>
      </c>
      <c r="AJ4" s="36" t="s">
        <v>237</v>
      </c>
      <c r="AK4" s="36" t="s">
        <v>238</v>
      </c>
      <c r="AL4" s="55" t="s">
        <v>297</v>
      </c>
      <c r="AM4" s="36" t="s">
        <v>237</v>
      </c>
      <c r="AN4" s="36" t="s">
        <v>238</v>
      </c>
      <c r="AO4" s="55" t="s">
        <v>297</v>
      </c>
      <c r="AP4" s="36" t="s">
        <v>237</v>
      </c>
      <c r="AQ4" s="36" t="s">
        <v>238</v>
      </c>
      <c r="AR4" s="55" t="s">
        <v>297</v>
      </c>
      <c r="AS4" s="36" t="s">
        <v>237</v>
      </c>
      <c r="AT4" s="36" t="s">
        <v>238</v>
      </c>
      <c r="AU4" s="55" t="s">
        <v>297</v>
      </c>
      <c r="AV4" s="36" t="s">
        <v>237</v>
      </c>
      <c r="AW4" s="36" t="s">
        <v>238</v>
      </c>
      <c r="AX4" s="55" t="s">
        <v>297</v>
      </c>
    </row>
    <row r="5" spans="1:50" ht="31.5" customHeight="1">
      <c r="A5" s="8" t="s">
        <v>3</v>
      </c>
      <c r="B5" s="78" t="s">
        <v>55</v>
      </c>
      <c r="C5" s="78"/>
      <c r="D5" s="74" t="s">
        <v>10</v>
      </c>
      <c r="E5" s="74"/>
      <c r="F5" s="78">
        <f aca="true" t="shared" si="0" ref="F5:F10">L5+O5+R5+U5+X5+AA5+AD5+AG5+AJ5+AM5+AP5+AS5+AV5</f>
        <v>2012</v>
      </c>
      <c r="G5" s="78"/>
      <c r="H5" s="78">
        <f aca="true" t="shared" si="1" ref="H5:H10">M5+P5+S5+V5+Y5+AB5+AE5+AH5+AK5+AN5+AQ5+AT5+AW5</f>
        <v>2167</v>
      </c>
      <c r="I5" s="78"/>
      <c r="J5" s="33">
        <f>H5/F5*100</f>
        <v>107.70377733598409</v>
      </c>
      <c r="K5" s="23">
        <f>H5-F5</f>
        <v>155</v>
      </c>
      <c r="L5" s="32">
        <v>64</v>
      </c>
      <c r="M5" s="32">
        <v>69</v>
      </c>
      <c r="N5" s="32"/>
      <c r="O5" s="32">
        <v>130</v>
      </c>
      <c r="P5" s="32">
        <v>126</v>
      </c>
      <c r="Q5" s="32"/>
      <c r="R5" s="13">
        <v>131</v>
      </c>
      <c r="S5" s="13">
        <v>134</v>
      </c>
      <c r="T5" s="13"/>
      <c r="U5" s="32">
        <v>128</v>
      </c>
      <c r="V5" s="32">
        <v>129</v>
      </c>
      <c r="W5" s="32"/>
      <c r="X5" s="32">
        <v>277</v>
      </c>
      <c r="Y5" s="32">
        <v>363</v>
      </c>
      <c r="Z5" s="32"/>
      <c r="AA5" s="32">
        <v>227</v>
      </c>
      <c r="AB5" s="32">
        <v>261</v>
      </c>
      <c r="AC5" s="32"/>
      <c r="AD5" s="32">
        <v>127</v>
      </c>
      <c r="AE5" s="32">
        <v>127</v>
      </c>
      <c r="AF5" s="32"/>
      <c r="AG5" s="32">
        <v>106</v>
      </c>
      <c r="AH5" s="32">
        <v>96</v>
      </c>
      <c r="AI5" s="32"/>
      <c r="AJ5" s="32">
        <v>84</v>
      </c>
      <c r="AK5" s="32">
        <v>82</v>
      </c>
      <c r="AL5" s="32"/>
      <c r="AM5" s="32">
        <v>196</v>
      </c>
      <c r="AN5" s="32">
        <v>217</v>
      </c>
      <c r="AO5" s="32"/>
      <c r="AP5" s="32">
        <v>222</v>
      </c>
      <c r="AQ5" s="32">
        <v>251</v>
      </c>
      <c r="AR5" s="32"/>
      <c r="AS5" s="32">
        <v>185</v>
      </c>
      <c r="AT5" s="32">
        <v>180</v>
      </c>
      <c r="AU5" s="32"/>
      <c r="AV5" s="32">
        <v>135</v>
      </c>
      <c r="AW5" s="32">
        <v>132</v>
      </c>
      <c r="AX5" s="13"/>
    </row>
    <row r="6" spans="1:50" ht="15.75">
      <c r="A6" s="16" t="s">
        <v>78</v>
      </c>
      <c r="B6" s="110" t="s">
        <v>56</v>
      </c>
      <c r="C6" s="110"/>
      <c r="D6" s="74" t="s">
        <v>10</v>
      </c>
      <c r="E6" s="74"/>
      <c r="F6" s="78">
        <f t="shared" si="0"/>
        <v>286</v>
      </c>
      <c r="G6" s="78"/>
      <c r="H6" s="78">
        <f t="shared" si="1"/>
        <v>378</v>
      </c>
      <c r="I6" s="78"/>
      <c r="J6" s="33">
        <f aca="true" t="shared" si="2" ref="J6:J28">H6/F6*100</f>
        <v>132.16783216783216</v>
      </c>
      <c r="K6" s="23">
        <f aca="true" t="shared" si="3" ref="K6:K28">H6-F6</f>
        <v>92</v>
      </c>
      <c r="L6" s="32">
        <v>1</v>
      </c>
      <c r="M6" s="32">
        <v>17</v>
      </c>
      <c r="N6" s="32"/>
      <c r="O6" s="32">
        <v>19</v>
      </c>
      <c r="P6" s="32">
        <v>23</v>
      </c>
      <c r="Q6" s="32"/>
      <c r="R6" s="13">
        <v>18</v>
      </c>
      <c r="S6" s="13">
        <v>0</v>
      </c>
      <c r="T6" s="13"/>
      <c r="U6" s="32">
        <v>23</v>
      </c>
      <c r="V6" s="32">
        <v>17</v>
      </c>
      <c r="W6" s="32"/>
      <c r="X6" s="32">
        <v>31</v>
      </c>
      <c r="Y6" s="32">
        <v>35</v>
      </c>
      <c r="Z6" s="32"/>
      <c r="AA6" s="32">
        <v>38</v>
      </c>
      <c r="AB6" s="32">
        <v>69</v>
      </c>
      <c r="AC6" s="32"/>
      <c r="AD6" s="32">
        <v>13</v>
      </c>
      <c r="AE6" s="32">
        <v>16</v>
      </c>
      <c r="AF6" s="32"/>
      <c r="AG6" s="32">
        <v>22</v>
      </c>
      <c r="AH6" s="32">
        <v>11</v>
      </c>
      <c r="AI6" s="32"/>
      <c r="AJ6" s="32">
        <v>22</v>
      </c>
      <c r="AK6" s="32">
        <v>21</v>
      </c>
      <c r="AL6" s="32"/>
      <c r="AM6" s="32">
        <v>10</v>
      </c>
      <c r="AN6" s="32">
        <v>51</v>
      </c>
      <c r="AO6" s="32"/>
      <c r="AP6" s="32">
        <v>46</v>
      </c>
      <c r="AQ6" s="32">
        <v>58</v>
      </c>
      <c r="AR6" s="32"/>
      <c r="AS6" s="32">
        <v>36</v>
      </c>
      <c r="AT6" s="32">
        <v>43</v>
      </c>
      <c r="AU6" s="32"/>
      <c r="AV6" s="32">
        <v>7</v>
      </c>
      <c r="AW6" s="32">
        <v>17</v>
      </c>
      <c r="AX6" s="13"/>
    </row>
    <row r="7" spans="1:50" ht="31.5" customHeight="1">
      <c r="A7" s="16" t="s">
        <v>79</v>
      </c>
      <c r="B7" s="110" t="s">
        <v>88</v>
      </c>
      <c r="C7" s="110"/>
      <c r="D7" s="74" t="s">
        <v>10</v>
      </c>
      <c r="E7" s="74"/>
      <c r="F7" s="78">
        <f t="shared" si="0"/>
        <v>69</v>
      </c>
      <c r="G7" s="78"/>
      <c r="H7" s="78">
        <f t="shared" si="1"/>
        <v>64</v>
      </c>
      <c r="I7" s="78"/>
      <c r="J7" s="33">
        <f t="shared" si="2"/>
        <v>92.7536231884058</v>
      </c>
      <c r="K7" s="23">
        <f t="shared" si="3"/>
        <v>-5</v>
      </c>
      <c r="L7" s="32">
        <v>0</v>
      </c>
      <c r="M7" s="32">
        <v>0</v>
      </c>
      <c r="N7" s="32"/>
      <c r="O7" s="32">
        <v>0</v>
      </c>
      <c r="P7" s="32">
        <v>0</v>
      </c>
      <c r="Q7" s="32"/>
      <c r="R7" s="13">
        <v>0</v>
      </c>
      <c r="S7" s="13">
        <v>0</v>
      </c>
      <c r="T7" s="13"/>
      <c r="U7" s="32">
        <v>0</v>
      </c>
      <c r="V7" s="32">
        <v>0</v>
      </c>
      <c r="W7" s="32"/>
      <c r="X7" s="32">
        <v>0</v>
      </c>
      <c r="Y7" s="32">
        <v>0</v>
      </c>
      <c r="Z7" s="32"/>
      <c r="AA7" s="32">
        <v>0</v>
      </c>
      <c r="AB7" s="32">
        <v>0</v>
      </c>
      <c r="AC7" s="32"/>
      <c r="AD7" s="32">
        <v>0</v>
      </c>
      <c r="AE7" s="32">
        <v>0</v>
      </c>
      <c r="AF7" s="32"/>
      <c r="AG7" s="32">
        <v>0</v>
      </c>
      <c r="AH7" s="32">
        <v>0</v>
      </c>
      <c r="AI7" s="32"/>
      <c r="AJ7" s="32">
        <v>0</v>
      </c>
      <c r="AK7" s="32">
        <v>0</v>
      </c>
      <c r="AL7" s="32"/>
      <c r="AM7" s="32">
        <v>69</v>
      </c>
      <c r="AN7" s="32">
        <v>64</v>
      </c>
      <c r="AO7" s="32"/>
      <c r="AP7" s="32">
        <v>0</v>
      </c>
      <c r="AQ7" s="32">
        <v>0</v>
      </c>
      <c r="AR7" s="32"/>
      <c r="AS7" s="32">
        <v>0</v>
      </c>
      <c r="AT7" s="32">
        <v>0</v>
      </c>
      <c r="AU7" s="32"/>
      <c r="AV7" s="32">
        <v>0</v>
      </c>
      <c r="AW7" s="32">
        <v>0</v>
      </c>
      <c r="AX7" s="13"/>
    </row>
    <row r="8" spans="1:50" ht="15.75">
      <c r="A8" s="8" t="s">
        <v>5</v>
      </c>
      <c r="B8" s="78" t="s">
        <v>57</v>
      </c>
      <c r="C8" s="78"/>
      <c r="D8" s="74" t="s">
        <v>58</v>
      </c>
      <c r="E8" s="74"/>
      <c r="F8" s="78">
        <f t="shared" si="0"/>
        <v>98</v>
      </c>
      <c r="G8" s="78"/>
      <c r="H8" s="78">
        <f t="shared" si="1"/>
        <v>102.89999999999999</v>
      </c>
      <c r="I8" s="78"/>
      <c r="J8" s="33">
        <f t="shared" si="2"/>
        <v>104.99999999999999</v>
      </c>
      <c r="K8" s="23">
        <f t="shared" si="3"/>
        <v>4.8999999999999915</v>
      </c>
      <c r="L8" s="32">
        <v>3</v>
      </c>
      <c r="M8" s="32">
        <v>3</v>
      </c>
      <c r="N8" s="32"/>
      <c r="O8" s="32">
        <v>6</v>
      </c>
      <c r="P8" s="32">
        <v>6</v>
      </c>
      <c r="Q8" s="32"/>
      <c r="R8" s="13">
        <v>6</v>
      </c>
      <c r="S8" s="13">
        <v>6</v>
      </c>
      <c r="T8" s="13"/>
      <c r="U8" s="32">
        <v>6</v>
      </c>
      <c r="V8" s="32">
        <v>6</v>
      </c>
      <c r="W8" s="32"/>
      <c r="X8" s="32">
        <v>12</v>
      </c>
      <c r="Y8" s="32">
        <v>16</v>
      </c>
      <c r="Z8" s="32"/>
      <c r="AA8" s="32">
        <v>11</v>
      </c>
      <c r="AB8" s="32">
        <v>11.3</v>
      </c>
      <c r="AC8" s="32"/>
      <c r="AD8" s="32">
        <v>6</v>
      </c>
      <c r="AE8" s="32">
        <v>6</v>
      </c>
      <c r="AF8" s="32"/>
      <c r="AG8" s="32">
        <v>5</v>
      </c>
      <c r="AH8" s="32">
        <v>5</v>
      </c>
      <c r="AI8" s="32"/>
      <c r="AJ8" s="32">
        <v>4</v>
      </c>
      <c r="AK8" s="32">
        <v>4</v>
      </c>
      <c r="AL8" s="32"/>
      <c r="AM8" s="32">
        <v>13</v>
      </c>
      <c r="AN8" s="32">
        <v>13.3</v>
      </c>
      <c r="AO8" s="32"/>
      <c r="AP8" s="32">
        <v>11</v>
      </c>
      <c r="AQ8" s="32">
        <v>11.3</v>
      </c>
      <c r="AR8" s="32"/>
      <c r="AS8" s="32">
        <v>9</v>
      </c>
      <c r="AT8" s="32">
        <v>9</v>
      </c>
      <c r="AU8" s="32"/>
      <c r="AV8" s="32">
        <v>6</v>
      </c>
      <c r="AW8" s="32">
        <v>6</v>
      </c>
      <c r="AX8" s="13"/>
    </row>
    <row r="9" spans="1:50" ht="15.75">
      <c r="A9" s="16" t="s">
        <v>47</v>
      </c>
      <c r="B9" s="110" t="s">
        <v>59</v>
      </c>
      <c r="C9" s="110"/>
      <c r="D9" s="74" t="s">
        <v>58</v>
      </c>
      <c r="E9" s="74"/>
      <c r="F9" s="78">
        <f t="shared" si="0"/>
        <v>19</v>
      </c>
      <c r="G9" s="78"/>
      <c r="H9" s="78">
        <f t="shared" si="1"/>
        <v>20.3</v>
      </c>
      <c r="I9" s="78"/>
      <c r="J9" s="33">
        <f t="shared" si="2"/>
        <v>106.84210526315789</v>
      </c>
      <c r="K9" s="23">
        <f t="shared" si="3"/>
        <v>1.3000000000000007</v>
      </c>
      <c r="L9" s="32">
        <v>0</v>
      </c>
      <c r="M9" s="32">
        <v>1</v>
      </c>
      <c r="N9" s="32"/>
      <c r="O9" s="32">
        <v>1</v>
      </c>
      <c r="P9" s="32">
        <v>1</v>
      </c>
      <c r="Q9" s="32"/>
      <c r="R9" s="13">
        <v>1</v>
      </c>
      <c r="S9" s="13">
        <v>0</v>
      </c>
      <c r="T9" s="13"/>
      <c r="U9" s="32">
        <v>1</v>
      </c>
      <c r="V9" s="32">
        <v>1</v>
      </c>
      <c r="W9" s="32"/>
      <c r="X9" s="32">
        <v>5</v>
      </c>
      <c r="Y9" s="32">
        <v>2</v>
      </c>
      <c r="Z9" s="32"/>
      <c r="AA9" s="32">
        <v>2</v>
      </c>
      <c r="AB9" s="32">
        <v>2.3</v>
      </c>
      <c r="AC9" s="32"/>
      <c r="AD9" s="32">
        <v>1</v>
      </c>
      <c r="AE9" s="32">
        <v>1</v>
      </c>
      <c r="AF9" s="32"/>
      <c r="AG9" s="32">
        <v>1</v>
      </c>
      <c r="AH9" s="32">
        <v>1</v>
      </c>
      <c r="AI9" s="32"/>
      <c r="AJ9" s="32">
        <v>1</v>
      </c>
      <c r="AK9" s="32">
        <v>1</v>
      </c>
      <c r="AL9" s="32"/>
      <c r="AM9" s="32">
        <v>1</v>
      </c>
      <c r="AN9" s="32">
        <v>4</v>
      </c>
      <c r="AO9" s="32"/>
      <c r="AP9" s="32">
        <v>3</v>
      </c>
      <c r="AQ9" s="32">
        <v>3</v>
      </c>
      <c r="AR9" s="32"/>
      <c r="AS9" s="32">
        <v>2</v>
      </c>
      <c r="AT9" s="32">
        <v>2</v>
      </c>
      <c r="AU9" s="32"/>
      <c r="AV9" s="32">
        <v>0</v>
      </c>
      <c r="AW9" s="32">
        <v>1</v>
      </c>
      <c r="AX9" s="13"/>
    </row>
    <row r="10" spans="1:50" ht="31.5" customHeight="1">
      <c r="A10" s="16" t="s">
        <v>48</v>
      </c>
      <c r="B10" s="110" t="s">
        <v>89</v>
      </c>
      <c r="C10" s="110"/>
      <c r="D10" s="74" t="s">
        <v>58</v>
      </c>
      <c r="E10" s="74"/>
      <c r="F10" s="78">
        <f t="shared" si="0"/>
        <v>6</v>
      </c>
      <c r="G10" s="78"/>
      <c r="H10" s="78">
        <f t="shared" si="1"/>
        <v>6</v>
      </c>
      <c r="I10" s="78"/>
      <c r="J10" s="33">
        <f t="shared" si="2"/>
        <v>100</v>
      </c>
      <c r="K10" s="23">
        <f t="shared" si="3"/>
        <v>0</v>
      </c>
      <c r="L10" s="32">
        <v>0</v>
      </c>
      <c r="M10" s="32">
        <v>0</v>
      </c>
      <c r="N10" s="32"/>
      <c r="O10" s="32">
        <v>0</v>
      </c>
      <c r="P10" s="32">
        <v>0</v>
      </c>
      <c r="Q10" s="32"/>
      <c r="R10" s="13"/>
      <c r="S10" s="13"/>
      <c r="T10" s="13"/>
      <c r="U10" s="32">
        <v>0</v>
      </c>
      <c r="V10" s="32">
        <v>0</v>
      </c>
      <c r="W10" s="32"/>
      <c r="X10" s="32">
        <v>0</v>
      </c>
      <c r="Y10" s="32">
        <v>0</v>
      </c>
      <c r="Z10" s="32"/>
      <c r="AA10" s="32">
        <v>0</v>
      </c>
      <c r="AB10" s="32">
        <v>0</v>
      </c>
      <c r="AC10" s="32"/>
      <c r="AD10" s="32">
        <v>0</v>
      </c>
      <c r="AE10" s="32">
        <v>0</v>
      </c>
      <c r="AF10" s="32"/>
      <c r="AG10" s="32">
        <v>0</v>
      </c>
      <c r="AH10" s="32">
        <v>0</v>
      </c>
      <c r="AI10" s="32"/>
      <c r="AJ10" s="32">
        <v>0</v>
      </c>
      <c r="AK10" s="32">
        <v>0</v>
      </c>
      <c r="AL10" s="32"/>
      <c r="AM10" s="32">
        <v>6</v>
      </c>
      <c r="AN10" s="32">
        <v>6</v>
      </c>
      <c r="AO10" s="32"/>
      <c r="AP10" s="32">
        <v>0</v>
      </c>
      <c r="AQ10" s="32">
        <v>0</v>
      </c>
      <c r="AR10" s="32"/>
      <c r="AS10" s="32">
        <v>0</v>
      </c>
      <c r="AT10" s="32">
        <v>0</v>
      </c>
      <c r="AU10" s="32"/>
      <c r="AV10" s="32">
        <v>0</v>
      </c>
      <c r="AW10" s="32">
        <v>0</v>
      </c>
      <c r="AX10" s="13"/>
    </row>
    <row r="11" spans="1:50" ht="15.75">
      <c r="A11" s="8" t="s">
        <v>6</v>
      </c>
      <c r="B11" s="78" t="s">
        <v>60</v>
      </c>
      <c r="C11" s="78"/>
      <c r="D11" s="74" t="s">
        <v>10</v>
      </c>
      <c r="E11" s="74"/>
      <c r="F11" s="85">
        <f>F5/F8</f>
        <v>20.53061224489796</v>
      </c>
      <c r="G11" s="85"/>
      <c r="H11" s="85">
        <f>H5/H8</f>
        <v>21.059280855199223</v>
      </c>
      <c r="I11" s="85"/>
      <c r="J11" s="33">
        <f t="shared" si="2"/>
        <v>102.57502603427058</v>
      </c>
      <c r="K11" s="39">
        <f t="shared" si="3"/>
        <v>0.5286686103012634</v>
      </c>
      <c r="L11" s="37">
        <f>L5/L8</f>
        <v>21.333333333333332</v>
      </c>
      <c r="M11" s="37">
        <f aca="true" t="shared" si="4" ref="M11:AW11">M5/M8</f>
        <v>23</v>
      </c>
      <c r="N11" s="37"/>
      <c r="O11" s="37">
        <f t="shared" si="4"/>
        <v>21.666666666666668</v>
      </c>
      <c r="P11" s="37">
        <f t="shared" si="4"/>
        <v>21</v>
      </c>
      <c r="Q11" s="37"/>
      <c r="R11" s="27">
        <f t="shared" si="4"/>
        <v>21.833333333333332</v>
      </c>
      <c r="S11" s="27">
        <f t="shared" si="4"/>
        <v>22.333333333333332</v>
      </c>
      <c r="T11" s="27"/>
      <c r="U11" s="37">
        <f t="shared" si="4"/>
        <v>21.333333333333332</v>
      </c>
      <c r="V11" s="37">
        <f t="shared" si="4"/>
        <v>21.5</v>
      </c>
      <c r="W11" s="37"/>
      <c r="X11" s="37">
        <f t="shared" si="4"/>
        <v>23.083333333333332</v>
      </c>
      <c r="Y11" s="37">
        <f t="shared" si="4"/>
        <v>22.6875</v>
      </c>
      <c r="Z11" s="37"/>
      <c r="AA11" s="37">
        <f t="shared" si="4"/>
        <v>20.636363636363637</v>
      </c>
      <c r="AB11" s="37">
        <f t="shared" si="4"/>
        <v>23.09734513274336</v>
      </c>
      <c r="AC11" s="37"/>
      <c r="AD11" s="37">
        <f t="shared" si="4"/>
        <v>21.166666666666668</v>
      </c>
      <c r="AE11" s="37">
        <f t="shared" si="4"/>
        <v>21.166666666666668</v>
      </c>
      <c r="AF11" s="37"/>
      <c r="AG11" s="32">
        <f t="shared" si="4"/>
        <v>21.2</v>
      </c>
      <c r="AH11" s="32">
        <f t="shared" si="4"/>
        <v>19.2</v>
      </c>
      <c r="AI11" s="32"/>
      <c r="AJ11" s="32">
        <f t="shared" si="4"/>
        <v>21</v>
      </c>
      <c r="AK11" s="32">
        <f t="shared" si="4"/>
        <v>20.5</v>
      </c>
      <c r="AL11" s="32"/>
      <c r="AM11" s="37">
        <f t="shared" si="4"/>
        <v>15.076923076923077</v>
      </c>
      <c r="AN11" s="37">
        <f t="shared" si="4"/>
        <v>16.31578947368421</v>
      </c>
      <c r="AO11" s="37"/>
      <c r="AP11" s="37">
        <f t="shared" si="4"/>
        <v>20.181818181818183</v>
      </c>
      <c r="AQ11" s="37">
        <f t="shared" si="4"/>
        <v>22.212389380530972</v>
      </c>
      <c r="AR11" s="37"/>
      <c r="AS11" s="37">
        <f t="shared" si="4"/>
        <v>20.555555555555557</v>
      </c>
      <c r="AT11" s="37">
        <f t="shared" si="4"/>
        <v>20</v>
      </c>
      <c r="AU11" s="37"/>
      <c r="AV11" s="37">
        <f t="shared" si="4"/>
        <v>22.5</v>
      </c>
      <c r="AW11" s="32">
        <f t="shared" si="4"/>
        <v>22</v>
      </c>
      <c r="AX11" s="13"/>
    </row>
    <row r="12" spans="1:50" ht="47.25" customHeight="1">
      <c r="A12" s="16" t="s">
        <v>80</v>
      </c>
      <c r="B12" s="110" t="s">
        <v>61</v>
      </c>
      <c r="C12" s="110"/>
      <c r="D12" s="74" t="s">
        <v>10</v>
      </c>
      <c r="E12" s="74"/>
      <c r="F12" s="85">
        <f>(F5-F6-F7)/(F8-F9-F10)</f>
        <v>22.698630136986303</v>
      </c>
      <c r="G12" s="85"/>
      <c r="H12" s="85">
        <f>(H5-H6-H7)/(H8-H9-H10)</f>
        <v>22.51958224543081</v>
      </c>
      <c r="I12" s="85"/>
      <c r="J12" s="33">
        <f t="shared" si="2"/>
        <v>99.21119516695529</v>
      </c>
      <c r="K12" s="39">
        <f t="shared" si="3"/>
        <v>-0.1790478915554914</v>
      </c>
      <c r="L12" s="32">
        <f>(L5-L6-L7)/(L8-L9-L10)</f>
        <v>21</v>
      </c>
      <c r="M12" s="32">
        <f aca="true" t="shared" si="5" ref="M12:AW12">(M5-M6-M7)/(M8-M9-M10)</f>
        <v>26</v>
      </c>
      <c r="N12" s="32"/>
      <c r="O12" s="32">
        <f t="shared" si="5"/>
        <v>22.2</v>
      </c>
      <c r="P12" s="32">
        <f t="shared" si="5"/>
        <v>20.6</v>
      </c>
      <c r="Q12" s="32"/>
      <c r="R12" s="13">
        <f t="shared" si="5"/>
        <v>22.6</v>
      </c>
      <c r="S12" s="27">
        <f t="shared" si="5"/>
        <v>22.333333333333332</v>
      </c>
      <c r="T12" s="27"/>
      <c r="U12" s="32">
        <f t="shared" si="5"/>
        <v>21</v>
      </c>
      <c r="V12" s="32">
        <f t="shared" si="5"/>
        <v>22.4</v>
      </c>
      <c r="W12" s="32"/>
      <c r="X12" s="37">
        <f t="shared" si="5"/>
        <v>35.142857142857146</v>
      </c>
      <c r="Y12" s="37">
        <f t="shared" si="5"/>
        <v>23.428571428571427</v>
      </c>
      <c r="Z12" s="37"/>
      <c r="AA12" s="37">
        <f t="shared" si="5"/>
        <v>21</v>
      </c>
      <c r="AB12" s="37">
        <f t="shared" si="5"/>
        <v>21.333333333333332</v>
      </c>
      <c r="AC12" s="37"/>
      <c r="AD12" s="32">
        <f t="shared" si="5"/>
        <v>22.8</v>
      </c>
      <c r="AE12" s="32">
        <f t="shared" si="5"/>
        <v>22.2</v>
      </c>
      <c r="AF12" s="32"/>
      <c r="AG12" s="32">
        <f t="shared" si="5"/>
        <v>21</v>
      </c>
      <c r="AH12" s="37">
        <f t="shared" si="5"/>
        <v>21.25</v>
      </c>
      <c r="AI12" s="37"/>
      <c r="AJ12" s="37">
        <f t="shared" si="5"/>
        <v>20.666666666666668</v>
      </c>
      <c r="AK12" s="37">
        <f t="shared" si="5"/>
        <v>20.333333333333332</v>
      </c>
      <c r="AL12" s="37"/>
      <c r="AM12" s="37">
        <f>(AM5-AM6-AM7)/(AM8-AM9-AM10)</f>
        <v>19.5</v>
      </c>
      <c r="AN12" s="37">
        <f t="shared" si="5"/>
        <v>30.909090909090903</v>
      </c>
      <c r="AO12" s="37"/>
      <c r="AP12" s="37">
        <f t="shared" si="5"/>
        <v>22</v>
      </c>
      <c r="AQ12" s="37">
        <f t="shared" si="5"/>
        <v>23.25301204819277</v>
      </c>
      <c r="AR12" s="37"/>
      <c r="AS12" s="37">
        <f t="shared" si="5"/>
        <v>21.285714285714285</v>
      </c>
      <c r="AT12" s="37">
        <f t="shared" si="5"/>
        <v>19.571428571428573</v>
      </c>
      <c r="AU12" s="37"/>
      <c r="AV12" s="37">
        <f t="shared" si="5"/>
        <v>21.333333333333332</v>
      </c>
      <c r="AW12" s="32">
        <f t="shared" si="5"/>
        <v>23</v>
      </c>
      <c r="AX12" s="13"/>
    </row>
    <row r="13" spans="1:50" ht="15.75">
      <c r="A13" s="16" t="s">
        <v>81</v>
      </c>
      <c r="B13" s="110" t="s">
        <v>62</v>
      </c>
      <c r="C13" s="110"/>
      <c r="D13" s="74" t="s">
        <v>10</v>
      </c>
      <c r="E13" s="74"/>
      <c r="F13" s="85">
        <f>F6/F9</f>
        <v>15.052631578947368</v>
      </c>
      <c r="G13" s="85"/>
      <c r="H13" s="85">
        <f>H6/H9</f>
        <v>18.620689655172413</v>
      </c>
      <c r="I13" s="85"/>
      <c r="J13" s="33">
        <f t="shared" si="2"/>
        <v>123.70388232457196</v>
      </c>
      <c r="K13" s="39">
        <f t="shared" si="3"/>
        <v>3.5680580762250447</v>
      </c>
      <c r="L13" s="32" t="e">
        <f>L6/L9</f>
        <v>#DIV/0!</v>
      </c>
      <c r="M13" s="32">
        <f aca="true" t="shared" si="6" ref="M13:AW13">M6/M9</f>
        <v>17</v>
      </c>
      <c r="N13" s="32"/>
      <c r="O13" s="32">
        <f t="shared" si="6"/>
        <v>19</v>
      </c>
      <c r="P13" s="32">
        <f t="shared" si="6"/>
        <v>23</v>
      </c>
      <c r="Q13" s="32"/>
      <c r="R13" s="13">
        <f t="shared" si="6"/>
        <v>18</v>
      </c>
      <c r="S13" s="13">
        <v>0</v>
      </c>
      <c r="T13" s="13"/>
      <c r="U13" s="32">
        <f t="shared" si="6"/>
        <v>23</v>
      </c>
      <c r="V13" s="32">
        <f t="shared" si="6"/>
        <v>17</v>
      </c>
      <c r="W13" s="32"/>
      <c r="X13" s="32">
        <f t="shared" si="6"/>
        <v>6.2</v>
      </c>
      <c r="Y13" s="32">
        <f t="shared" si="6"/>
        <v>17.5</v>
      </c>
      <c r="Z13" s="32"/>
      <c r="AA13" s="32">
        <f t="shared" si="6"/>
        <v>19</v>
      </c>
      <c r="AB13" s="32">
        <f t="shared" si="6"/>
        <v>30.000000000000004</v>
      </c>
      <c r="AC13" s="32"/>
      <c r="AD13" s="32">
        <f t="shared" si="6"/>
        <v>13</v>
      </c>
      <c r="AE13" s="32">
        <f t="shared" si="6"/>
        <v>16</v>
      </c>
      <c r="AF13" s="32"/>
      <c r="AG13" s="32">
        <f t="shared" si="6"/>
        <v>22</v>
      </c>
      <c r="AH13" s="32">
        <f t="shared" si="6"/>
        <v>11</v>
      </c>
      <c r="AI13" s="32"/>
      <c r="AJ13" s="32">
        <f t="shared" si="6"/>
        <v>22</v>
      </c>
      <c r="AK13" s="32">
        <f t="shared" si="6"/>
        <v>21</v>
      </c>
      <c r="AL13" s="32"/>
      <c r="AM13" s="37">
        <f t="shared" si="6"/>
        <v>10</v>
      </c>
      <c r="AN13" s="37">
        <f t="shared" si="6"/>
        <v>12.75</v>
      </c>
      <c r="AO13" s="37"/>
      <c r="AP13" s="37">
        <f t="shared" si="6"/>
        <v>15.333333333333334</v>
      </c>
      <c r="AQ13" s="37">
        <f t="shared" si="6"/>
        <v>19.333333333333332</v>
      </c>
      <c r="AR13" s="37"/>
      <c r="AS13" s="37">
        <f t="shared" si="6"/>
        <v>18</v>
      </c>
      <c r="AT13" s="37">
        <f t="shared" si="6"/>
        <v>21.5</v>
      </c>
      <c r="AU13" s="37"/>
      <c r="AV13" s="32" t="e">
        <f t="shared" si="6"/>
        <v>#DIV/0!</v>
      </c>
      <c r="AW13" s="32">
        <f t="shared" si="6"/>
        <v>17</v>
      </c>
      <c r="AX13" s="13"/>
    </row>
    <row r="14" spans="1:50" ht="31.5" customHeight="1">
      <c r="A14" s="16" t="s">
        <v>82</v>
      </c>
      <c r="B14" s="110" t="s">
        <v>90</v>
      </c>
      <c r="C14" s="110"/>
      <c r="D14" s="74" t="s">
        <v>10</v>
      </c>
      <c r="E14" s="74"/>
      <c r="F14" s="85">
        <f>F7/F10</f>
        <v>11.5</v>
      </c>
      <c r="G14" s="85"/>
      <c r="H14" s="85">
        <f>H7/H10</f>
        <v>10.666666666666666</v>
      </c>
      <c r="I14" s="85"/>
      <c r="J14" s="33">
        <f t="shared" si="2"/>
        <v>92.75362318840578</v>
      </c>
      <c r="K14" s="39">
        <f t="shared" si="3"/>
        <v>-0.8333333333333339</v>
      </c>
      <c r="L14" s="32" t="e">
        <f>L7/L10</f>
        <v>#DIV/0!</v>
      </c>
      <c r="M14" s="32" t="e">
        <f aca="true" t="shared" si="7" ref="M14:AW14">M7/M10</f>
        <v>#DIV/0!</v>
      </c>
      <c r="N14" s="32"/>
      <c r="O14" s="32" t="e">
        <f t="shared" si="7"/>
        <v>#DIV/0!</v>
      </c>
      <c r="P14" s="32" t="e">
        <f t="shared" si="7"/>
        <v>#DIV/0!</v>
      </c>
      <c r="Q14" s="32"/>
      <c r="R14" s="13" t="e">
        <f t="shared" si="7"/>
        <v>#DIV/0!</v>
      </c>
      <c r="S14" s="13" t="e">
        <f t="shared" si="7"/>
        <v>#DIV/0!</v>
      </c>
      <c r="T14" s="13"/>
      <c r="U14" s="32" t="e">
        <f t="shared" si="7"/>
        <v>#DIV/0!</v>
      </c>
      <c r="V14" s="32" t="e">
        <f t="shared" si="7"/>
        <v>#DIV/0!</v>
      </c>
      <c r="W14" s="32"/>
      <c r="X14" s="32" t="e">
        <f t="shared" si="7"/>
        <v>#DIV/0!</v>
      </c>
      <c r="Y14" s="32" t="e">
        <f t="shared" si="7"/>
        <v>#DIV/0!</v>
      </c>
      <c r="Z14" s="32"/>
      <c r="AA14" s="32" t="e">
        <f t="shared" si="7"/>
        <v>#DIV/0!</v>
      </c>
      <c r="AB14" s="32" t="e">
        <f t="shared" si="7"/>
        <v>#DIV/0!</v>
      </c>
      <c r="AC14" s="32"/>
      <c r="AD14" s="32" t="e">
        <f t="shared" si="7"/>
        <v>#DIV/0!</v>
      </c>
      <c r="AE14" s="32" t="e">
        <f t="shared" si="7"/>
        <v>#DIV/0!</v>
      </c>
      <c r="AF14" s="32"/>
      <c r="AG14" s="32" t="e">
        <f t="shared" si="7"/>
        <v>#DIV/0!</v>
      </c>
      <c r="AH14" s="32" t="e">
        <f t="shared" si="7"/>
        <v>#DIV/0!</v>
      </c>
      <c r="AI14" s="32"/>
      <c r="AJ14" s="32" t="e">
        <f t="shared" si="7"/>
        <v>#DIV/0!</v>
      </c>
      <c r="AK14" s="32" t="e">
        <f t="shared" si="7"/>
        <v>#DIV/0!</v>
      </c>
      <c r="AL14" s="32"/>
      <c r="AM14" s="32">
        <f t="shared" si="7"/>
        <v>11.5</v>
      </c>
      <c r="AN14" s="37">
        <f t="shared" si="7"/>
        <v>10.666666666666666</v>
      </c>
      <c r="AO14" s="37"/>
      <c r="AP14" s="32" t="e">
        <f t="shared" si="7"/>
        <v>#DIV/0!</v>
      </c>
      <c r="AQ14" s="32" t="e">
        <f t="shared" si="7"/>
        <v>#DIV/0!</v>
      </c>
      <c r="AR14" s="32"/>
      <c r="AS14" s="32" t="e">
        <f t="shared" si="7"/>
        <v>#DIV/0!</v>
      </c>
      <c r="AT14" s="32" t="e">
        <f t="shared" si="7"/>
        <v>#DIV/0!</v>
      </c>
      <c r="AU14" s="32"/>
      <c r="AV14" s="32" t="e">
        <f t="shared" si="7"/>
        <v>#DIV/0!</v>
      </c>
      <c r="AW14" s="32" t="e">
        <f t="shared" si="7"/>
        <v>#DIV/0!</v>
      </c>
      <c r="AX14" s="13"/>
    </row>
    <row r="15" spans="1:50" ht="15.75">
      <c r="A15" s="77" t="s">
        <v>7</v>
      </c>
      <c r="B15" s="78" t="s">
        <v>63</v>
      </c>
      <c r="C15" s="78"/>
      <c r="D15" s="74" t="s">
        <v>64</v>
      </c>
      <c r="E15" s="74"/>
      <c r="F15" s="78">
        <f>L15+O15+R15+U15+X15+AA15+AD15+AG15+AJ15+AM15+AP15+AS15+AV15</f>
        <v>355972</v>
      </c>
      <c r="G15" s="78"/>
      <c r="H15" s="78">
        <f>M15+P15+S15+V15+Y15+AB15+AE15+AH15+AK15+AN15+AQ15+AT15+AW15</f>
        <v>380269</v>
      </c>
      <c r="I15" s="78"/>
      <c r="J15" s="33">
        <f t="shared" si="2"/>
        <v>106.82553683997618</v>
      </c>
      <c r="K15" s="23">
        <f t="shared" si="3"/>
        <v>24297</v>
      </c>
      <c r="L15" s="32">
        <v>12418</v>
      </c>
      <c r="M15" s="32">
        <v>12144</v>
      </c>
      <c r="N15" s="32"/>
      <c r="O15" s="32">
        <v>23615</v>
      </c>
      <c r="P15" s="32">
        <v>24008</v>
      </c>
      <c r="Q15" s="32"/>
      <c r="R15" s="13">
        <v>24523</v>
      </c>
      <c r="S15" s="13">
        <v>25561</v>
      </c>
      <c r="T15" s="13"/>
      <c r="U15" s="32">
        <v>23937</v>
      </c>
      <c r="V15" s="32">
        <v>24482</v>
      </c>
      <c r="W15" s="32"/>
      <c r="X15" s="32">
        <v>50709</v>
      </c>
      <c r="Y15" s="32">
        <v>63952</v>
      </c>
      <c r="Z15" s="32"/>
      <c r="AA15" s="32">
        <v>40651</v>
      </c>
      <c r="AB15" s="32">
        <v>43083</v>
      </c>
      <c r="AC15" s="32"/>
      <c r="AD15" s="32">
        <v>21456</v>
      </c>
      <c r="AE15" s="32">
        <v>22591</v>
      </c>
      <c r="AF15" s="32"/>
      <c r="AG15" s="32">
        <v>18228</v>
      </c>
      <c r="AH15" s="32">
        <v>18106</v>
      </c>
      <c r="AI15" s="32"/>
      <c r="AJ15" s="32">
        <v>13630</v>
      </c>
      <c r="AK15" s="32">
        <v>13850</v>
      </c>
      <c r="AL15" s="32"/>
      <c r="AM15" s="32">
        <v>34736</v>
      </c>
      <c r="AN15" s="32">
        <v>36955</v>
      </c>
      <c r="AO15" s="32"/>
      <c r="AP15" s="32">
        <v>37748</v>
      </c>
      <c r="AQ15" s="32">
        <v>40400</v>
      </c>
      <c r="AR15" s="32"/>
      <c r="AS15" s="32">
        <v>30730</v>
      </c>
      <c r="AT15" s="32">
        <v>30724</v>
      </c>
      <c r="AU15" s="32"/>
      <c r="AV15" s="32">
        <v>23591</v>
      </c>
      <c r="AW15" s="32">
        <v>24413</v>
      </c>
      <c r="AX15" s="13"/>
    </row>
    <row r="16" spans="1:50" ht="15.75">
      <c r="A16" s="77"/>
      <c r="B16" s="78" t="s">
        <v>65</v>
      </c>
      <c r="C16" s="78"/>
      <c r="D16" s="74" t="s">
        <v>8</v>
      </c>
      <c r="E16" s="74"/>
      <c r="F16" s="143">
        <f>F15/F5</f>
        <v>176.9244532803181</v>
      </c>
      <c r="G16" s="144"/>
      <c r="H16" s="143">
        <f>H15/H5</f>
        <v>175.48177203507151</v>
      </c>
      <c r="I16" s="144"/>
      <c r="J16" s="33">
        <f t="shared" si="2"/>
        <v>99.18457781358192</v>
      </c>
      <c r="K16" s="23">
        <f t="shared" si="3"/>
        <v>-1.4426812452465754</v>
      </c>
      <c r="L16" s="37">
        <f>L15/L5</f>
        <v>194.03125</v>
      </c>
      <c r="M16" s="37">
        <f aca="true" t="shared" si="8" ref="M16:S16">M15/M5</f>
        <v>176</v>
      </c>
      <c r="N16" s="37">
        <v>0</v>
      </c>
      <c r="O16" s="37">
        <f t="shared" si="8"/>
        <v>181.65384615384616</v>
      </c>
      <c r="P16" s="37">
        <f t="shared" si="8"/>
        <v>190.53968253968253</v>
      </c>
      <c r="Q16" s="37">
        <v>5</v>
      </c>
      <c r="R16" s="27">
        <f t="shared" si="8"/>
        <v>187.19847328244273</v>
      </c>
      <c r="S16" s="27">
        <f t="shared" si="8"/>
        <v>190.7537313432836</v>
      </c>
      <c r="T16" s="27">
        <v>5</v>
      </c>
      <c r="U16" s="37">
        <f aca="true" t="shared" si="9" ref="U16:AW16">U15/U5</f>
        <v>187.0078125</v>
      </c>
      <c r="V16" s="37">
        <f t="shared" si="9"/>
        <v>189.7829457364341</v>
      </c>
      <c r="W16" s="37">
        <v>5</v>
      </c>
      <c r="X16" s="37">
        <f t="shared" si="9"/>
        <v>183.06498194945848</v>
      </c>
      <c r="Y16" s="37">
        <f t="shared" si="9"/>
        <v>176.1763085399449</v>
      </c>
      <c r="Z16" s="37">
        <v>0</v>
      </c>
      <c r="AA16" s="37">
        <f t="shared" si="9"/>
        <v>179.07929515418502</v>
      </c>
      <c r="AB16" s="37">
        <f t="shared" si="9"/>
        <v>165.06896551724137</v>
      </c>
      <c r="AC16" s="37">
        <v>0</v>
      </c>
      <c r="AD16" s="37">
        <f t="shared" si="9"/>
        <v>168.9448818897638</v>
      </c>
      <c r="AE16" s="37">
        <f t="shared" si="9"/>
        <v>177.88188976377953</v>
      </c>
      <c r="AF16" s="37">
        <v>2</v>
      </c>
      <c r="AG16" s="37">
        <f t="shared" si="9"/>
        <v>171.96226415094338</v>
      </c>
      <c r="AH16" s="37">
        <f t="shared" si="9"/>
        <v>188.60416666666666</v>
      </c>
      <c r="AI16" s="37">
        <v>5</v>
      </c>
      <c r="AJ16" s="37">
        <f t="shared" si="9"/>
        <v>162.26190476190476</v>
      </c>
      <c r="AK16" s="37">
        <f t="shared" si="9"/>
        <v>168.90243902439025</v>
      </c>
      <c r="AL16" s="37">
        <v>0</v>
      </c>
      <c r="AM16" s="37">
        <f t="shared" si="9"/>
        <v>177.22448979591837</v>
      </c>
      <c r="AN16" s="37">
        <f t="shared" si="9"/>
        <v>170.2995391705069</v>
      </c>
      <c r="AO16" s="37">
        <v>0</v>
      </c>
      <c r="AP16" s="37">
        <f t="shared" si="9"/>
        <v>170.03603603603602</v>
      </c>
      <c r="AQ16" s="37">
        <f t="shared" si="9"/>
        <v>160.9561752988048</v>
      </c>
      <c r="AR16" s="37">
        <v>0</v>
      </c>
      <c r="AS16" s="37">
        <f t="shared" si="9"/>
        <v>166.1081081081081</v>
      </c>
      <c r="AT16" s="37">
        <f t="shared" si="9"/>
        <v>170.6888888888889</v>
      </c>
      <c r="AU16" s="37">
        <v>0</v>
      </c>
      <c r="AV16" s="37">
        <f t="shared" si="9"/>
        <v>174.74814814814815</v>
      </c>
      <c r="AW16" s="37">
        <f t="shared" si="9"/>
        <v>184.9469696969697</v>
      </c>
      <c r="AX16" s="13">
        <v>5</v>
      </c>
    </row>
    <row r="17" spans="1:50" ht="15.75">
      <c r="A17" s="77" t="s">
        <v>9</v>
      </c>
      <c r="B17" s="78" t="s">
        <v>66</v>
      </c>
      <c r="C17" s="78"/>
      <c r="D17" s="74" t="s">
        <v>64</v>
      </c>
      <c r="E17" s="74"/>
      <c r="F17" s="78">
        <f>L17+O17+R17+U17+X17+AA17+AD17+AG17+AJ17+AM17+AP17+AS17+AV17</f>
        <v>24553</v>
      </c>
      <c r="G17" s="78"/>
      <c r="H17" s="78">
        <f>M17+P17+S17+V17+Y17+AB17+AE17+AH17+AK17+AN17+AQ17+AT17+AW17</f>
        <v>25754</v>
      </c>
      <c r="I17" s="78"/>
      <c r="J17" s="33">
        <f t="shared" si="2"/>
        <v>104.89145929214352</v>
      </c>
      <c r="K17" s="23">
        <f t="shared" si="3"/>
        <v>1201</v>
      </c>
      <c r="L17" s="32">
        <v>616</v>
      </c>
      <c r="M17" s="32">
        <v>537</v>
      </c>
      <c r="N17" s="32"/>
      <c r="O17" s="32">
        <v>1481</v>
      </c>
      <c r="P17" s="32">
        <v>1400</v>
      </c>
      <c r="Q17" s="32"/>
      <c r="R17" s="13">
        <v>1491</v>
      </c>
      <c r="S17" s="13">
        <v>1675</v>
      </c>
      <c r="T17" s="13"/>
      <c r="U17" s="32">
        <v>1726</v>
      </c>
      <c r="V17" s="32">
        <v>1804</v>
      </c>
      <c r="W17" s="32"/>
      <c r="X17" s="32">
        <v>3406</v>
      </c>
      <c r="Y17" s="32">
        <v>4946</v>
      </c>
      <c r="Z17" s="32"/>
      <c r="AA17" s="32">
        <v>2833</v>
      </c>
      <c r="AB17" s="32">
        <v>3160</v>
      </c>
      <c r="AC17" s="32"/>
      <c r="AD17" s="32">
        <v>1320</v>
      </c>
      <c r="AE17" s="32">
        <v>1318</v>
      </c>
      <c r="AF17" s="32"/>
      <c r="AG17" s="32">
        <v>1014</v>
      </c>
      <c r="AH17" s="32">
        <v>1007</v>
      </c>
      <c r="AI17" s="32"/>
      <c r="AJ17" s="32">
        <v>1088</v>
      </c>
      <c r="AK17" s="32">
        <v>1095</v>
      </c>
      <c r="AL17" s="32"/>
      <c r="AM17" s="32">
        <v>3119</v>
      </c>
      <c r="AN17" s="32">
        <v>2416</v>
      </c>
      <c r="AO17" s="32"/>
      <c r="AP17" s="32">
        <v>2539</v>
      </c>
      <c r="AQ17" s="32">
        <v>2913</v>
      </c>
      <c r="AR17" s="32"/>
      <c r="AS17" s="32">
        <v>1852</v>
      </c>
      <c r="AT17" s="32">
        <v>1890</v>
      </c>
      <c r="AU17" s="32"/>
      <c r="AV17" s="32">
        <v>2068</v>
      </c>
      <c r="AW17" s="32">
        <v>1593</v>
      </c>
      <c r="AX17" s="13"/>
    </row>
    <row r="18" spans="1:50" ht="15.75">
      <c r="A18" s="77"/>
      <c r="B18" s="110" t="s">
        <v>67</v>
      </c>
      <c r="C18" s="110"/>
      <c r="D18" s="74" t="s">
        <v>64</v>
      </c>
      <c r="E18" s="74"/>
      <c r="F18" s="85">
        <f>F17/F5</f>
        <v>12.203280318091451</v>
      </c>
      <c r="G18" s="85"/>
      <c r="H18" s="85">
        <f>H17/H5</f>
        <v>11.884633133364098</v>
      </c>
      <c r="I18" s="85"/>
      <c r="J18" s="33">
        <f t="shared" si="2"/>
        <v>97.38883991499435</v>
      </c>
      <c r="K18" s="39">
        <f t="shared" si="3"/>
        <v>-0.31864718472735376</v>
      </c>
      <c r="L18" s="37">
        <f>L17/L5</f>
        <v>9.625</v>
      </c>
      <c r="M18" s="37">
        <f aca="true" t="shared" si="10" ref="M18:AW18">M17/M5</f>
        <v>7.782608695652174</v>
      </c>
      <c r="N18" s="37">
        <v>3</v>
      </c>
      <c r="O18" s="37">
        <f t="shared" si="10"/>
        <v>11.392307692307693</v>
      </c>
      <c r="P18" s="37">
        <f t="shared" si="10"/>
        <v>11.11111111111111</v>
      </c>
      <c r="Q18" s="37">
        <v>0</v>
      </c>
      <c r="R18" s="27">
        <f t="shared" si="10"/>
        <v>11.381679389312977</v>
      </c>
      <c r="S18" s="27">
        <f t="shared" si="10"/>
        <v>12.5</v>
      </c>
      <c r="T18" s="27">
        <v>0</v>
      </c>
      <c r="U18" s="37">
        <f t="shared" si="10"/>
        <v>13.484375</v>
      </c>
      <c r="V18" s="37">
        <f t="shared" si="10"/>
        <v>13.984496124031008</v>
      </c>
      <c r="W18" s="37">
        <v>0</v>
      </c>
      <c r="X18" s="37">
        <f t="shared" si="10"/>
        <v>12.296028880866427</v>
      </c>
      <c r="Y18" s="37">
        <f t="shared" si="10"/>
        <v>13.62534435261708</v>
      </c>
      <c r="Z18" s="37">
        <v>0</v>
      </c>
      <c r="AA18" s="37">
        <f t="shared" si="10"/>
        <v>12.480176211453745</v>
      </c>
      <c r="AB18" s="37">
        <f t="shared" si="10"/>
        <v>12.10727969348659</v>
      </c>
      <c r="AC18" s="37">
        <v>0</v>
      </c>
      <c r="AD18" s="37">
        <f t="shared" si="10"/>
        <v>10.393700787401574</v>
      </c>
      <c r="AE18" s="37">
        <f t="shared" si="10"/>
        <v>10.377952755905511</v>
      </c>
      <c r="AF18" s="37">
        <v>2</v>
      </c>
      <c r="AG18" s="37">
        <f t="shared" si="10"/>
        <v>9.566037735849056</v>
      </c>
      <c r="AH18" s="37">
        <f t="shared" si="10"/>
        <v>10.489583333333334</v>
      </c>
      <c r="AI18" s="37">
        <v>2</v>
      </c>
      <c r="AJ18" s="37">
        <f t="shared" si="10"/>
        <v>12.952380952380953</v>
      </c>
      <c r="AK18" s="37">
        <f t="shared" si="10"/>
        <v>13.353658536585366</v>
      </c>
      <c r="AL18" s="37">
        <v>0</v>
      </c>
      <c r="AM18" s="37">
        <f t="shared" si="10"/>
        <v>15.91326530612245</v>
      </c>
      <c r="AN18" s="37">
        <f t="shared" si="10"/>
        <v>11.133640552995391</v>
      </c>
      <c r="AO18" s="37">
        <v>0</v>
      </c>
      <c r="AP18" s="37">
        <f t="shared" si="10"/>
        <v>11.436936936936936</v>
      </c>
      <c r="AQ18" s="37">
        <f t="shared" si="10"/>
        <v>11.605577689243027</v>
      </c>
      <c r="AR18" s="37">
        <v>0</v>
      </c>
      <c r="AS18" s="37">
        <f t="shared" si="10"/>
        <v>10.010810810810812</v>
      </c>
      <c r="AT18" s="32">
        <f t="shared" si="10"/>
        <v>10.5</v>
      </c>
      <c r="AU18" s="32">
        <v>2</v>
      </c>
      <c r="AV18" s="37">
        <f t="shared" si="10"/>
        <v>15.318518518518518</v>
      </c>
      <c r="AW18" s="37">
        <f t="shared" si="10"/>
        <v>12.068181818181818</v>
      </c>
      <c r="AX18" s="13">
        <v>0</v>
      </c>
    </row>
    <row r="19" spans="1:50" ht="31.5" customHeight="1">
      <c r="A19" s="8" t="s">
        <v>11</v>
      </c>
      <c r="B19" s="78" t="s">
        <v>52</v>
      </c>
      <c r="C19" s="78"/>
      <c r="D19" s="74" t="s">
        <v>10</v>
      </c>
      <c r="E19" s="74"/>
      <c r="F19" s="85">
        <f>(L19+O19+R19+U19+X19+AA19+AD19+AG19+AJ19+AM19+AP19+AS19+AV19)</f>
        <v>552.7</v>
      </c>
      <c r="G19" s="85"/>
      <c r="H19" s="78">
        <f>M19+P19+S19+V19+Y19+AB19+AE19+AH19+AK19+AN19+AQ19+AT19+AW19</f>
        <v>561.9999999999999</v>
      </c>
      <c r="I19" s="78"/>
      <c r="J19" s="33">
        <f t="shared" si="2"/>
        <v>101.6826488149086</v>
      </c>
      <c r="K19" s="23">
        <f t="shared" si="3"/>
        <v>9.29999999999984</v>
      </c>
      <c r="L19" s="32">
        <v>22.3</v>
      </c>
      <c r="M19" s="32">
        <v>24.3</v>
      </c>
      <c r="N19" s="32"/>
      <c r="O19" s="32">
        <v>35.6</v>
      </c>
      <c r="P19" s="32">
        <v>34.7</v>
      </c>
      <c r="Q19" s="32"/>
      <c r="R19" s="13">
        <v>36.8</v>
      </c>
      <c r="S19" s="13">
        <v>36.4</v>
      </c>
      <c r="T19" s="13"/>
      <c r="U19" s="32">
        <v>36.8</v>
      </c>
      <c r="V19" s="32">
        <v>35.5</v>
      </c>
      <c r="W19" s="32"/>
      <c r="X19" s="32">
        <v>58.4</v>
      </c>
      <c r="Y19" s="32">
        <v>80</v>
      </c>
      <c r="Z19" s="32"/>
      <c r="AA19" s="32">
        <v>58.4</v>
      </c>
      <c r="AB19" s="32">
        <v>57.5</v>
      </c>
      <c r="AC19" s="32"/>
      <c r="AD19" s="32">
        <v>35.8</v>
      </c>
      <c r="AE19" s="32">
        <v>33.2</v>
      </c>
      <c r="AF19" s="32"/>
      <c r="AG19" s="32">
        <v>30.1</v>
      </c>
      <c r="AH19" s="32">
        <v>27.8</v>
      </c>
      <c r="AI19" s="32"/>
      <c r="AJ19" s="32">
        <v>27</v>
      </c>
      <c r="AK19" s="32">
        <v>28</v>
      </c>
      <c r="AL19" s="32"/>
      <c r="AM19" s="32">
        <v>71.2</v>
      </c>
      <c r="AN19" s="32">
        <v>68.4</v>
      </c>
      <c r="AO19" s="32"/>
      <c r="AP19" s="32">
        <v>56.9</v>
      </c>
      <c r="AQ19" s="32">
        <v>53.3</v>
      </c>
      <c r="AR19" s="32"/>
      <c r="AS19" s="32">
        <v>47.2</v>
      </c>
      <c r="AT19" s="32">
        <v>48</v>
      </c>
      <c r="AU19" s="32"/>
      <c r="AV19" s="32">
        <v>36.2</v>
      </c>
      <c r="AW19" s="32">
        <v>34.9</v>
      </c>
      <c r="AX19" s="13"/>
    </row>
    <row r="20" spans="1:50" ht="31.5" customHeight="1">
      <c r="A20" s="8" t="s">
        <v>12</v>
      </c>
      <c r="B20" s="78" t="s">
        <v>32</v>
      </c>
      <c r="C20" s="78"/>
      <c r="D20" s="74" t="s">
        <v>4</v>
      </c>
      <c r="E20" s="74"/>
      <c r="F20" s="85">
        <f>(L20+O20+R20+U20+X20+AA20+AD20+AG20+AJ20+AM20+AP20+AS20+AV20)</f>
        <v>46160.399999999994</v>
      </c>
      <c r="G20" s="85"/>
      <c r="H20" s="78">
        <f>M20+P20+S20+V20+Y20+AB20+AE20+AH20+AK20+AN20+AQ20+AT20+AW20</f>
        <v>55927.2</v>
      </c>
      <c r="I20" s="78"/>
      <c r="J20" s="33">
        <f t="shared" si="2"/>
        <v>121.1583955078379</v>
      </c>
      <c r="K20" s="23">
        <f t="shared" si="3"/>
        <v>9766.800000000003</v>
      </c>
      <c r="L20" s="32">
        <v>1722.2</v>
      </c>
      <c r="M20" s="32">
        <v>2003.9</v>
      </c>
      <c r="N20" s="32"/>
      <c r="O20" s="32">
        <v>2818.4</v>
      </c>
      <c r="P20" s="32">
        <v>3245.4</v>
      </c>
      <c r="Q20" s="32"/>
      <c r="R20" s="13">
        <v>2962.9</v>
      </c>
      <c r="S20" s="13">
        <v>3409.8</v>
      </c>
      <c r="T20" s="13"/>
      <c r="U20" s="32">
        <v>2934.8</v>
      </c>
      <c r="V20" s="32">
        <v>3363</v>
      </c>
      <c r="W20" s="32"/>
      <c r="X20" s="32">
        <v>5707</v>
      </c>
      <c r="Y20" s="32">
        <v>8376.9</v>
      </c>
      <c r="Z20" s="32"/>
      <c r="AA20" s="32">
        <v>4854.4</v>
      </c>
      <c r="AB20" s="32">
        <v>5753.1</v>
      </c>
      <c r="AC20" s="32"/>
      <c r="AD20" s="32">
        <v>2706.2</v>
      </c>
      <c r="AE20" s="32">
        <v>3213.7</v>
      </c>
      <c r="AF20" s="32"/>
      <c r="AG20" s="32">
        <v>2485.8</v>
      </c>
      <c r="AH20" s="32">
        <v>2874.4</v>
      </c>
      <c r="AI20" s="32"/>
      <c r="AJ20" s="32">
        <v>2175.5</v>
      </c>
      <c r="AK20" s="32">
        <v>2451.9</v>
      </c>
      <c r="AL20" s="32"/>
      <c r="AM20" s="32">
        <v>6308.1</v>
      </c>
      <c r="AN20" s="32">
        <v>7679.2</v>
      </c>
      <c r="AO20" s="32"/>
      <c r="AP20" s="32">
        <v>4719.8</v>
      </c>
      <c r="AQ20" s="32">
        <v>5622.5</v>
      </c>
      <c r="AR20" s="32"/>
      <c r="AS20" s="32">
        <v>3906.2</v>
      </c>
      <c r="AT20" s="32">
        <v>4650.6</v>
      </c>
      <c r="AU20" s="32"/>
      <c r="AV20" s="32">
        <v>2859.1</v>
      </c>
      <c r="AW20" s="32">
        <v>3282.8</v>
      </c>
      <c r="AX20" s="13"/>
    </row>
    <row r="21" spans="1:50" ht="45" customHeight="1">
      <c r="A21" s="8" t="s">
        <v>15</v>
      </c>
      <c r="B21" s="78" t="s">
        <v>13</v>
      </c>
      <c r="C21" s="78"/>
      <c r="D21" s="74" t="s">
        <v>14</v>
      </c>
      <c r="E21" s="74"/>
      <c r="F21" s="118">
        <f>(F20/F19)/12*1000</f>
        <v>6959.8335444183085</v>
      </c>
      <c r="G21" s="118"/>
      <c r="H21" s="118">
        <f>(H20/H19)/12*1000</f>
        <v>8292.882562277582</v>
      </c>
      <c r="I21" s="118"/>
      <c r="J21" s="33">
        <f t="shared" si="2"/>
        <v>119.15346120495023</v>
      </c>
      <c r="K21" s="40">
        <f t="shared" si="3"/>
        <v>1333.0490178592736</v>
      </c>
      <c r="L21" s="34">
        <f aca="true" t="shared" si="11" ref="L21:AW21">((L20/L19)/12)*1000</f>
        <v>6435.724962630792</v>
      </c>
      <c r="M21" s="34">
        <f t="shared" si="11"/>
        <v>6872.085048010974</v>
      </c>
      <c r="N21" s="34"/>
      <c r="O21" s="34">
        <f t="shared" si="11"/>
        <v>6597.378277153559</v>
      </c>
      <c r="P21" s="34">
        <f t="shared" si="11"/>
        <v>7793.948126801152</v>
      </c>
      <c r="Q21" s="34"/>
      <c r="R21" s="34">
        <f t="shared" si="11"/>
        <v>6709.465579710146</v>
      </c>
      <c r="S21" s="34">
        <f t="shared" si="11"/>
        <v>7806.318681318682</v>
      </c>
      <c r="T21" s="34"/>
      <c r="U21" s="34">
        <f t="shared" si="11"/>
        <v>6645.833333333335</v>
      </c>
      <c r="V21" s="34">
        <f t="shared" si="11"/>
        <v>7894.366197183099</v>
      </c>
      <c r="W21" s="34"/>
      <c r="X21" s="34">
        <f t="shared" si="11"/>
        <v>8143.5502283105025</v>
      </c>
      <c r="Y21" s="34">
        <f t="shared" si="11"/>
        <v>8725.937499999998</v>
      </c>
      <c r="Z21" s="34"/>
      <c r="AA21" s="34">
        <f t="shared" si="11"/>
        <v>6926.940639269406</v>
      </c>
      <c r="AB21" s="34">
        <f t="shared" si="11"/>
        <v>8337.826086956522</v>
      </c>
      <c r="AC21" s="34"/>
      <c r="AD21" s="34">
        <f t="shared" si="11"/>
        <v>6299.348230912476</v>
      </c>
      <c r="AE21" s="34">
        <f t="shared" si="11"/>
        <v>8066.516064257026</v>
      </c>
      <c r="AF21" s="34"/>
      <c r="AG21" s="34">
        <f t="shared" si="11"/>
        <v>6882.059800664453</v>
      </c>
      <c r="AH21" s="34">
        <f t="shared" si="11"/>
        <v>8616.306954436452</v>
      </c>
      <c r="AI21" s="34"/>
      <c r="AJ21" s="34">
        <f t="shared" si="11"/>
        <v>6714.506172839507</v>
      </c>
      <c r="AK21" s="34">
        <f t="shared" si="11"/>
        <v>7297.321428571429</v>
      </c>
      <c r="AL21" s="34"/>
      <c r="AM21" s="34">
        <f t="shared" si="11"/>
        <v>7383.0758426966295</v>
      </c>
      <c r="AN21" s="34">
        <f t="shared" si="11"/>
        <v>9355.750487329435</v>
      </c>
      <c r="AO21" s="34"/>
      <c r="AP21" s="34">
        <f t="shared" si="11"/>
        <v>6912.419449326304</v>
      </c>
      <c r="AQ21" s="34">
        <f t="shared" si="11"/>
        <v>8790.650406504066</v>
      </c>
      <c r="AR21" s="34"/>
      <c r="AS21" s="34">
        <f t="shared" si="11"/>
        <v>6896.539548022599</v>
      </c>
      <c r="AT21" s="34">
        <f t="shared" si="11"/>
        <v>8073.958333333334</v>
      </c>
      <c r="AU21" s="34"/>
      <c r="AV21" s="34">
        <f t="shared" si="11"/>
        <v>6581.72191528545</v>
      </c>
      <c r="AW21" s="34">
        <f t="shared" si="11"/>
        <v>7838.586437440306</v>
      </c>
      <c r="AX21" s="13"/>
    </row>
    <row r="22" spans="1:50" ht="31.5" customHeight="1">
      <c r="A22" s="8" t="s">
        <v>16</v>
      </c>
      <c r="B22" s="78" t="s">
        <v>68</v>
      </c>
      <c r="C22" s="78"/>
      <c r="D22" s="74" t="s">
        <v>10</v>
      </c>
      <c r="E22" s="74"/>
      <c r="F22" s="143">
        <f>F5/F19</f>
        <v>3.6403111995657675</v>
      </c>
      <c r="G22" s="144"/>
      <c r="H22" s="143">
        <f>H5/H19</f>
        <v>3.855871886120997</v>
      </c>
      <c r="I22" s="144"/>
      <c r="J22" s="33">
        <f t="shared" si="2"/>
        <v>105.9214906291787</v>
      </c>
      <c r="K22" s="39">
        <f t="shared" si="3"/>
        <v>0.21556068655522953</v>
      </c>
      <c r="L22" s="37">
        <f>L5/L19</f>
        <v>2.8699551569506725</v>
      </c>
      <c r="M22" s="37">
        <f aca="true" t="shared" si="12" ref="M22:AW22">M5/M19</f>
        <v>2.839506172839506</v>
      </c>
      <c r="N22" s="37"/>
      <c r="O22" s="37">
        <f t="shared" si="12"/>
        <v>3.651685393258427</v>
      </c>
      <c r="P22" s="37">
        <f t="shared" si="12"/>
        <v>3.631123919308357</v>
      </c>
      <c r="Q22" s="37"/>
      <c r="R22" s="27">
        <f t="shared" si="12"/>
        <v>3.5597826086956523</v>
      </c>
      <c r="S22" s="27">
        <f t="shared" si="12"/>
        <v>3.6813186813186816</v>
      </c>
      <c r="T22" s="27"/>
      <c r="U22" s="37">
        <f t="shared" si="12"/>
        <v>3.4782608695652177</v>
      </c>
      <c r="V22" s="37">
        <f t="shared" si="12"/>
        <v>3.6338028169014085</v>
      </c>
      <c r="W22" s="37"/>
      <c r="X22" s="37">
        <f t="shared" si="12"/>
        <v>4.743150684931507</v>
      </c>
      <c r="Y22" s="37">
        <f t="shared" si="12"/>
        <v>4.5375</v>
      </c>
      <c r="Z22" s="37"/>
      <c r="AA22" s="37">
        <f t="shared" si="12"/>
        <v>3.886986301369863</v>
      </c>
      <c r="AB22" s="37">
        <f t="shared" si="12"/>
        <v>4.539130434782609</v>
      </c>
      <c r="AC22" s="37"/>
      <c r="AD22" s="37">
        <f t="shared" si="12"/>
        <v>3.5474860335195535</v>
      </c>
      <c r="AE22" s="37">
        <f t="shared" si="12"/>
        <v>3.8253012048192767</v>
      </c>
      <c r="AF22" s="37"/>
      <c r="AG22" s="37">
        <f t="shared" si="12"/>
        <v>3.521594684385382</v>
      </c>
      <c r="AH22" s="37">
        <f t="shared" si="12"/>
        <v>3.4532374100719423</v>
      </c>
      <c r="AI22" s="37"/>
      <c r="AJ22" s="37">
        <f t="shared" si="12"/>
        <v>3.111111111111111</v>
      </c>
      <c r="AK22" s="37">
        <f t="shared" si="12"/>
        <v>2.9285714285714284</v>
      </c>
      <c r="AL22" s="37"/>
      <c r="AM22" s="37">
        <f t="shared" si="12"/>
        <v>2.752808988764045</v>
      </c>
      <c r="AN22" s="37">
        <f t="shared" si="12"/>
        <v>3.1725146198830405</v>
      </c>
      <c r="AO22" s="37"/>
      <c r="AP22" s="37">
        <f t="shared" si="12"/>
        <v>3.9015817223198597</v>
      </c>
      <c r="AQ22" s="37">
        <f t="shared" si="12"/>
        <v>4.709193245778612</v>
      </c>
      <c r="AR22" s="37"/>
      <c r="AS22" s="37">
        <f t="shared" si="12"/>
        <v>3.9194915254237284</v>
      </c>
      <c r="AT22" s="37">
        <f t="shared" si="12"/>
        <v>3.75</v>
      </c>
      <c r="AU22" s="37"/>
      <c r="AV22" s="37">
        <f t="shared" si="12"/>
        <v>3.729281767955801</v>
      </c>
      <c r="AW22" s="37">
        <f t="shared" si="12"/>
        <v>3.7822349570200573</v>
      </c>
      <c r="AX22" s="13"/>
    </row>
    <row r="23" spans="1:50" ht="31.5" customHeight="1">
      <c r="A23" s="8" t="s">
        <v>18</v>
      </c>
      <c r="B23" s="78" t="s">
        <v>43</v>
      </c>
      <c r="C23" s="78"/>
      <c r="D23" s="74" t="s">
        <v>10</v>
      </c>
      <c r="E23" s="74"/>
      <c r="F23" s="78">
        <f>(L23+O23+R23+U23+X23+AA23+AD23+AG23+AJ23+AM23+AP23+AS23+AV23)</f>
        <v>196</v>
      </c>
      <c r="G23" s="78"/>
      <c r="H23" s="78">
        <f>M23+P23+S23+V23+Y23+AB23+AE23+AH23+AK23+AN23+AQ23+AT23+AW23</f>
        <v>199</v>
      </c>
      <c r="I23" s="78"/>
      <c r="J23" s="33">
        <f t="shared" si="2"/>
        <v>101.53061224489797</v>
      </c>
      <c r="K23" s="23">
        <f t="shared" si="3"/>
        <v>3</v>
      </c>
      <c r="L23" s="32">
        <v>6</v>
      </c>
      <c r="M23" s="32">
        <v>6</v>
      </c>
      <c r="N23" s="32"/>
      <c r="O23" s="32">
        <v>11</v>
      </c>
      <c r="P23" s="32">
        <v>11</v>
      </c>
      <c r="Q23" s="32"/>
      <c r="R23" s="13">
        <v>12</v>
      </c>
      <c r="S23" s="13">
        <v>11</v>
      </c>
      <c r="T23" s="13"/>
      <c r="U23" s="32">
        <v>11</v>
      </c>
      <c r="V23" s="32">
        <v>11</v>
      </c>
      <c r="W23" s="32"/>
      <c r="X23" s="32">
        <v>22</v>
      </c>
      <c r="Y23" s="32">
        <v>27</v>
      </c>
      <c r="Z23" s="32"/>
      <c r="AA23" s="32">
        <v>22</v>
      </c>
      <c r="AB23" s="32">
        <v>24</v>
      </c>
      <c r="AC23" s="32"/>
      <c r="AD23" s="32">
        <v>11</v>
      </c>
      <c r="AE23" s="32">
        <v>11</v>
      </c>
      <c r="AF23" s="32"/>
      <c r="AG23" s="32">
        <v>10</v>
      </c>
      <c r="AH23" s="32">
        <v>10</v>
      </c>
      <c r="AI23" s="32"/>
      <c r="AJ23" s="32">
        <v>9</v>
      </c>
      <c r="AK23" s="32">
        <v>8</v>
      </c>
      <c r="AL23" s="32"/>
      <c r="AM23" s="32">
        <v>33</v>
      </c>
      <c r="AN23" s="32">
        <v>32</v>
      </c>
      <c r="AO23" s="32"/>
      <c r="AP23" s="32">
        <v>19</v>
      </c>
      <c r="AQ23" s="32">
        <v>19</v>
      </c>
      <c r="AR23" s="32"/>
      <c r="AS23" s="32">
        <v>17</v>
      </c>
      <c r="AT23" s="32">
        <v>17</v>
      </c>
      <c r="AU23" s="32"/>
      <c r="AV23" s="32">
        <v>13</v>
      </c>
      <c r="AW23" s="32">
        <v>12</v>
      </c>
      <c r="AX23" s="13"/>
    </row>
    <row r="24" spans="1:50" ht="47.25" customHeight="1">
      <c r="A24" s="16" t="s">
        <v>83</v>
      </c>
      <c r="B24" s="110" t="s">
        <v>44</v>
      </c>
      <c r="C24" s="110"/>
      <c r="D24" s="74" t="s">
        <v>10</v>
      </c>
      <c r="E24" s="74"/>
      <c r="F24" s="78">
        <f>(L24+O24+R24+U24+X24+AA24+AD24+AG24+AJ24+AM24+AP24+AS24+AV24)</f>
        <v>50</v>
      </c>
      <c r="G24" s="78"/>
      <c r="H24" s="78">
        <f>M24+P24+S24+V24+Y24+AB24+AE24+AH24+AK24+AN24+AQ24+AT24+AW24</f>
        <v>48</v>
      </c>
      <c r="I24" s="78"/>
      <c r="J24" s="33">
        <f t="shared" si="2"/>
        <v>96</v>
      </c>
      <c r="K24" s="23">
        <f t="shared" si="3"/>
        <v>-2</v>
      </c>
      <c r="L24" s="32">
        <v>2</v>
      </c>
      <c r="M24" s="32">
        <v>3</v>
      </c>
      <c r="N24" s="32"/>
      <c r="O24" s="32">
        <v>5</v>
      </c>
      <c r="P24" s="32">
        <v>5</v>
      </c>
      <c r="Q24" s="32"/>
      <c r="R24" s="13">
        <v>3</v>
      </c>
      <c r="S24" s="13">
        <v>2</v>
      </c>
      <c r="T24" s="13"/>
      <c r="U24" s="32">
        <v>0</v>
      </c>
      <c r="V24" s="32">
        <v>0</v>
      </c>
      <c r="W24" s="32"/>
      <c r="X24" s="32">
        <v>8</v>
      </c>
      <c r="Y24" s="32">
        <v>9</v>
      </c>
      <c r="Z24" s="32"/>
      <c r="AA24" s="32">
        <v>5</v>
      </c>
      <c r="AB24" s="32">
        <v>5</v>
      </c>
      <c r="AC24" s="32"/>
      <c r="AD24" s="32">
        <v>4</v>
      </c>
      <c r="AE24" s="32">
        <v>3</v>
      </c>
      <c r="AF24" s="32"/>
      <c r="AG24" s="32">
        <v>3</v>
      </c>
      <c r="AH24" s="32">
        <v>2</v>
      </c>
      <c r="AI24" s="32"/>
      <c r="AJ24" s="32">
        <v>1</v>
      </c>
      <c r="AK24" s="32">
        <v>1</v>
      </c>
      <c r="AL24" s="32"/>
      <c r="AM24" s="32">
        <v>11</v>
      </c>
      <c r="AN24" s="32">
        <v>10</v>
      </c>
      <c r="AO24" s="32"/>
      <c r="AP24" s="32">
        <v>3</v>
      </c>
      <c r="AQ24" s="32">
        <v>4</v>
      </c>
      <c r="AR24" s="32"/>
      <c r="AS24" s="32">
        <v>2</v>
      </c>
      <c r="AT24" s="32">
        <v>2</v>
      </c>
      <c r="AU24" s="32"/>
      <c r="AV24" s="32">
        <v>3</v>
      </c>
      <c r="AW24" s="32">
        <v>2</v>
      </c>
      <c r="AX24" s="13"/>
    </row>
    <row r="25" spans="1:50" ht="47.25" customHeight="1">
      <c r="A25" s="16" t="s">
        <v>84</v>
      </c>
      <c r="B25" s="110" t="s">
        <v>45</v>
      </c>
      <c r="C25" s="110"/>
      <c r="D25" s="74" t="s">
        <v>17</v>
      </c>
      <c r="E25" s="74"/>
      <c r="F25" s="85">
        <f>F24/F23*100</f>
        <v>25.510204081632654</v>
      </c>
      <c r="G25" s="85"/>
      <c r="H25" s="85">
        <f>H24/H23*100</f>
        <v>24.120603015075375</v>
      </c>
      <c r="I25" s="85"/>
      <c r="J25" s="33">
        <f t="shared" si="2"/>
        <v>94.55276381909546</v>
      </c>
      <c r="K25" s="39">
        <f t="shared" si="3"/>
        <v>-1.3896010665572796</v>
      </c>
      <c r="L25" s="37">
        <f>L24/L23*100</f>
        <v>33.33333333333333</v>
      </c>
      <c r="M25" s="37">
        <f aca="true" t="shared" si="13" ref="M25:AW25">M24/M23*100</f>
        <v>50</v>
      </c>
      <c r="N25" s="37">
        <v>2</v>
      </c>
      <c r="O25" s="37">
        <f t="shared" si="13"/>
        <v>45.45454545454545</v>
      </c>
      <c r="P25" s="37">
        <f t="shared" si="13"/>
        <v>45.45454545454545</v>
      </c>
      <c r="Q25" s="37">
        <v>2</v>
      </c>
      <c r="R25" s="27">
        <f t="shared" si="13"/>
        <v>25</v>
      </c>
      <c r="S25" s="27">
        <f t="shared" si="13"/>
        <v>18.181818181818183</v>
      </c>
      <c r="T25" s="27">
        <v>0</v>
      </c>
      <c r="U25" s="37">
        <f t="shared" si="13"/>
        <v>0</v>
      </c>
      <c r="V25" s="37">
        <f t="shared" si="13"/>
        <v>0</v>
      </c>
      <c r="W25" s="37">
        <v>0</v>
      </c>
      <c r="X25" s="37">
        <f t="shared" si="13"/>
        <v>36.36363636363637</v>
      </c>
      <c r="Y25" s="37">
        <f t="shared" si="13"/>
        <v>33.33333333333333</v>
      </c>
      <c r="Z25" s="37">
        <v>2</v>
      </c>
      <c r="AA25" s="37">
        <f t="shared" si="13"/>
        <v>22.727272727272727</v>
      </c>
      <c r="AB25" s="37">
        <f t="shared" si="13"/>
        <v>20.833333333333336</v>
      </c>
      <c r="AC25" s="37">
        <v>0</v>
      </c>
      <c r="AD25" s="37">
        <f t="shared" si="13"/>
        <v>36.36363636363637</v>
      </c>
      <c r="AE25" s="37">
        <f t="shared" si="13"/>
        <v>27.27272727272727</v>
      </c>
      <c r="AF25" s="37">
        <v>2</v>
      </c>
      <c r="AG25" s="37">
        <f t="shared" si="13"/>
        <v>30</v>
      </c>
      <c r="AH25" s="37">
        <f t="shared" si="13"/>
        <v>20</v>
      </c>
      <c r="AI25" s="37">
        <v>0</v>
      </c>
      <c r="AJ25" s="37">
        <f t="shared" si="13"/>
        <v>11.11111111111111</v>
      </c>
      <c r="AK25" s="37">
        <f t="shared" si="13"/>
        <v>12.5</v>
      </c>
      <c r="AL25" s="37">
        <v>0</v>
      </c>
      <c r="AM25" s="37">
        <f t="shared" si="13"/>
        <v>33.33333333333333</v>
      </c>
      <c r="AN25" s="37">
        <f t="shared" si="13"/>
        <v>31.25</v>
      </c>
      <c r="AO25" s="37">
        <v>2</v>
      </c>
      <c r="AP25" s="37">
        <f t="shared" si="13"/>
        <v>15.789473684210526</v>
      </c>
      <c r="AQ25" s="37">
        <f t="shared" si="13"/>
        <v>21.052631578947366</v>
      </c>
      <c r="AR25" s="37">
        <v>0</v>
      </c>
      <c r="AS25" s="37">
        <f t="shared" si="13"/>
        <v>11.76470588235294</v>
      </c>
      <c r="AT25" s="37">
        <f t="shared" si="13"/>
        <v>11.76470588235294</v>
      </c>
      <c r="AU25" s="37">
        <v>0</v>
      </c>
      <c r="AV25" s="37">
        <f t="shared" si="13"/>
        <v>23.076923076923077</v>
      </c>
      <c r="AW25" s="37">
        <f t="shared" si="13"/>
        <v>16.666666666666664</v>
      </c>
      <c r="AX25" s="13">
        <v>0</v>
      </c>
    </row>
    <row r="26" spans="1:50" ht="47.25" customHeight="1">
      <c r="A26" s="8" t="s">
        <v>19</v>
      </c>
      <c r="B26" s="78" t="s">
        <v>69</v>
      </c>
      <c r="C26" s="78"/>
      <c r="D26" s="74" t="s">
        <v>4</v>
      </c>
      <c r="E26" s="74"/>
      <c r="F26" s="78">
        <f>L26+O26+R26+U26+X26+AA26+AD26+AG26+AJ26+AM26+AP26+AS26+AV26</f>
        <v>99423.9</v>
      </c>
      <c r="G26" s="78"/>
      <c r="H26" s="78">
        <f>M26+P26+S26+V26+Y26+AB26+AE26+AH26+AK26+AN26+AQ26+AT26+AW26</f>
        <v>138798.19999999998</v>
      </c>
      <c r="I26" s="78"/>
      <c r="J26" s="33">
        <f t="shared" si="2"/>
        <v>139.60244971279542</v>
      </c>
      <c r="K26" s="23">
        <f t="shared" si="3"/>
        <v>39374.29999999999</v>
      </c>
      <c r="L26" s="32">
        <v>3811.6</v>
      </c>
      <c r="M26" s="32">
        <v>4499</v>
      </c>
      <c r="N26" s="32"/>
      <c r="O26" s="32">
        <v>5952.1</v>
      </c>
      <c r="P26" s="32">
        <v>7018.9</v>
      </c>
      <c r="Q26" s="32"/>
      <c r="R26" s="13">
        <v>6860</v>
      </c>
      <c r="S26" s="13">
        <v>7886.9</v>
      </c>
      <c r="T26" s="13"/>
      <c r="U26" s="32">
        <v>6463.9</v>
      </c>
      <c r="V26" s="32">
        <v>7650.1</v>
      </c>
      <c r="W26" s="32"/>
      <c r="X26" s="32">
        <v>12905.5</v>
      </c>
      <c r="Y26" s="32">
        <v>18400.9</v>
      </c>
      <c r="Z26" s="32"/>
      <c r="AA26" s="32">
        <v>11314.3</v>
      </c>
      <c r="AB26" s="32">
        <v>13220</v>
      </c>
      <c r="AC26" s="32"/>
      <c r="AD26" s="32">
        <v>6038.5</v>
      </c>
      <c r="AE26" s="32">
        <v>6914.7</v>
      </c>
      <c r="AF26" s="32"/>
      <c r="AG26" s="32">
        <v>5517.1</v>
      </c>
      <c r="AH26" s="32">
        <v>24296</v>
      </c>
      <c r="AI26" s="32"/>
      <c r="AJ26" s="32">
        <v>4700.1</v>
      </c>
      <c r="AK26" s="32">
        <v>5286.4</v>
      </c>
      <c r="AL26" s="32"/>
      <c r="AM26" s="32">
        <v>11936.1</v>
      </c>
      <c r="AN26" s="32">
        <v>14770.4</v>
      </c>
      <c r="AO26" s="32"/>
      <c r="AP26" s="32">
        <v>9377.8</v>
      </c>
      <c r="AQ26" s="32">
        <v>11672.1</v>
      </c>
      <c r="AR26" s="32"/>
      <c r="AS26" s="32">
        <v>8161.9</v>
      </c>
      <c r="AT26" s="32">
        <v>9938</v>
      </c>
      <c r="AU26" s="32"/>
      <c r="AV26" s="32">
        <v>6385</v>
      </c>
      <c r="AW26" s="32">
        <v>7244.8</v>
      </c>
      <c r="AX26" s="13"/>
    </row>
    <row r="27" spans="1:50" ht="46.5" customHeight="1">
      <c r="A27" s="8" t="s">
        <v>21</v>
      </c>
      <c r="B27" s="78" t="s">
        <v>70</v>
      </c>
      <c r="C27" s="78"/>
      <c r="D27" s="74" t="s">
        <v>4</v>
      </c>
      <c r="E27" s="74"/>
      <c r="F27" s="85">
        <f>F26/F5</f>
        <v>49.41545725646123</v>
      </c>
      <c r="G27" s="85"/>
      <c r="H27" s="85">
        <f>H26/H5</f>
        <v>64.0508537148131</v>
      </c>
      <c r="I27" s="85"/>
      <c r="J27" s="33">
        <f t="shared" si="2"/>
        <v>129.6170414499974</v>
      </c>
      <c r="K27" s="39">
        <f t="shared" si="3"/>
        <v>14.63539645835187</v>
      </c>
      <c r="L27" s="37">
        <f>L26/L5</f>
        <v>59.55625</v>
      </c>
      <c r="M27" s="37">
        <f aca="true" t="shared" si="14" ref="M27:AW27">M26/M5</f>
        <v>65.20289855072464</v>
      </c>
      <c r="N27" s="37"/>
      <c r="O27" s="37">
        <f t="shared" si="14"/>
        <v>45.785384615384615</v>
      </c>
      <c r="P27" s="37">
        <f t="shared" si="14"/>
        <v>55.705555555555556</v>
      </c>
      <c r="Q27" s="37"/>
      <c r="R27" s="27">
        <f>R26/R5</f>
        <v>52.36641221374046</v>
      </c>
      <c r="S27" s="27">
        <f t="shared" si="14"/>
        <v>58.85746268656716</v>
      </c>
      <c r="T27" s="27"/>
      <c r="U27" s="37">
        <f t="shared" si="14"/>
        <v>50.49921875</v>
      </c>
      <c r="V27" s="37">
        <f t="shared" si="14"/>
        <v>59.3031007751938</v>
      </c>
      <c r="W27" s="37"/>
      <c r="X27" s="37">
        <f t="shared" si="14"/>
        <v>46.59025270758123</v>
      </c>
      <c r="Y27" s="37">
        <f t="shared" si="14"/>
        <v>50.69118457300276</v>
      </c>
      <c r="Z27" s="37"/>
      <c r="AA27" s="37">
        <f t="shared" si="14"/>
        <v>49.842731277533034</v>
      </c>
      <c r="AB27" s="37">
        <f t="shared" si="14"/>
        <v>50.651340996168585</v>
      </c>
      <c r="AC27" s="37"/>
      <c r="AD27" s="37">
        <f t="shared" si="14"/>
        <v>47.54724409448819</v>
      </c>
      <c r="AE27" s="37">
        <f t="shared" si="14"/>
        <v>54.44645669291339</v>
      </c>
      <c r="AF27" s="37"/>
      <c r="AG27" s="37">
        <f t="shared" si="14"/>
        <v>52.048113207547175</v>
      </c>
      <c r="AH27" s="37">
        <f t="shared" si="14"/>
        <v>253.08333333333334</v>
      </c>
      <c r="AI27" s="37"/>
      <c r="AJ27" s="37">
        <f t="shared" si="14"/>
        <v>55.953571428571436</v>
      </c>
      <c r="AK27" s="37">
        <f t="shared" si="14"/>
        <v>64.46829268292683</v>
      </c>
      <c r="AL27" s="37"/>
      <c r="AM27" s="37">
        <f t="shared" si="14"/>
        <v>60.89846938775511</v>
      </c>
      <c r="AN27" s="37">
        <f t="shared" si="14"/>
        <v>68.0663594470046</v>
      </c>
      <c r="AO27" s="37"/>
      <c r="AP27" s="37">
        <f t="shared" si="14"/>
        <v>42.24234234234234</v>
      </c>
      <c r="AQ27" s="37">
        <f t="shared" si="14"/>
        <v>46.50239043824701</v>
      </c>
      <c r="AR27" s="37"/>
      <c r="AS27" s="37">
        <f t="shared" si="14"/>
        <v>44.118378378378374</v>
      </c>
      <c r="AT27" s="37">
        <f t="shared" si="14"/>
        <v>55.21111111111111</v>
      </c>
      <c r="AU27" s="37"/>
      <c r="AV27" s="37">
        <f t="shared" si="14"/>
        <v>47.2962962962963</v>
      </c>
      <c r="AW27" s="37">
        <f t="shared" si="14"/>
        <v>54.88484848484848</v>
      </c>
      <c r="AX27" s="13"/>
    </row>
    <row r="28" spans="1:50" ht="61.5" customHeight="1">
      <c r="A28" s="8" t="s">
        <v>22</v>
      </c>
      <c r="B28" s="78" t="s">
        <v>71</v>
      </c>
      <c r="C28" s="78"/>
      <c r="D28" s="74" t="s">
        <v>4</v>
      </c>
      <c r="E28" s="74"/>
      <c r="F28" s="85">
        <f>F29+F32+F35</f>
        <v>2814.9487705878564</v>
      </c>
      <c r="G28" s="85"/>
      <c r="H28" s="85">
        <f>H29+H32+H35</f>
        <v>2335.0947772657446</v>
      </c>
      <c r="I28" s="85"/>
      <c r="J28" s="33">
        <f t="shared" si="2"/>
        <v>82.95336674202059</v>
      </c>
      <c r="K28" s="39">
        <f t="shared" si="3"/>
        <v>-479.8539933221118</v>
      </c>
      <c r="L28" s="37">
        <f>L29+L32+L35</f>
        <v>0</v>
      </c>
      <c r="M28" s="37">
        <f aca="true" t="shared" si="15" ref="M28:AW28">M29+M32+M35</f>
        <v>0</v>
      </c>
      <c r="N28" s="37"/>
      <c r="O28" s="37">
        <f t="shared" si="15"/>
        <v>0</v>
      </c>
      <c r="P28" s="37">
        <f t="shared" si="15"/>
        <v>0</v>
      </c>
      <c r="Q28" s="37"/>
      <c r="R28" s="27">
        <f t="shared" si="15"/>
        <v>0</v>
      </c>
      <c r="S28" s="27">
        <f t="shared" si="15"/>
        <v>0</v>
      </c>
      <c r="T28" s="27"/>
      <c r="U28" s="37">
        <f t="shared" si="15"/>
        <v>0</v>
      </c>
      <c r="V28" s="37">
        <f t="shared" si="15"/>
        <v>0</v>
      </c>
      <c r="W28" s="37"/>
      <c r="X28" s="37">
        <f t="shared" si="15"/>
        <v>2049.971119133574</v>
      </c>
      <c r="Y28" s="37">
        <f t="shared" si="15"/>
        <v>0</v>
      </c>
      <c r="Z28" s="37"/>
      <c r="AA28" s="37">
        <f t="shared" si="15"/>
        <v>0</v>
      </c>
      <c r="AB28" s="37">
        <f t="shared" si="15"/>
        <v>0</v>
      </c>
      <c r="AC28" s="37"/>
      <c r="AD28" s="37">
        <f t="shared" si="15"/>
        <v>95.09448818897638</v>
      </c>
      <c r="AE28" s="37">
        <f t="shared" si="15"/>
        <v>0</v>
      </c>
      <c r="AF28" s="37"/>
      <c r="AG28" s="37">
        <f t="shared" si="15"/>
        <v>0</v>
      </c>
      <c r="AH28" s="37">
        <f t="shared" si="15"/>
        <v>1012.3333333333334</v>
      </c>
      <c r="AI28" s="37"/>
      <c r="AJ28" s="37">
        <f t="shared" si="15"/>
        <v>0</v>
      </c>
      <c r="AK28" s="37">
        <f t="shared" si="15"/>
        <v>0</v>
      </c>
      <c r="AL28" s="37"/>
      <c r="AM28" s="37">
        <f t="shared" si="15"/>
        <v>669.8831632653062</v>
      </c>
      <c r="AN28" s="37">
        <f t="shared" si="15"/>
        <v>1157.1281105990784</v>
      </c>
      <c r="AO28" s="37"/>
      <c r="AP28" s="37">
        <f t="shared" si="15"/>
        <v>0</v>
      </c>
      <c r="AQ28" s="37">
        <f t="shared" si="15"/>
        <v>0</v>
      </c>
      <c r="AR28" s="37"/>
      <c r="AS28" s="37">
        <f t="shared" si="15"/>
        <v>0</v>
      </c>
      <c r="AT28" s="37">
        <f t="shared" si="15"/>
        <v>165.63333333333273</v>
      </c>
      <c r="AU28" s="37"/>
      <c r="AV28" s="37">
        <f t="shared" si="15"/>
        <v>0</v>
      </c>
      <c r="AW28" s="37">
        <f t="shared" si="15"/>
        <v>0</v>
      </c>
      <c r="AX28" s="13"/>
    </row>
    <row r="29" spans="1:50" ht="41.25" customHeight="1">
      <c r="A29" s="142" t="s">
        <v>85</v>
      </c>
      <c r="B29" s="79" t="s">
        <v>72</v>
      </c>
      <c r="C29" s="79"/>
      <c r="D29" s="87" t="s">
        <v>4</v>
      </c>
      <c r="E29" s="88"/>
      <c r="F29" s="134">
        <f>L29+O29+R29+U29+X29+AA29+AD29+AG29+AJ29+AM29+AP29+AS29+AV29</f>
        <v>2449.557954261326</v>
      </c>
      <c r="G29" s="135"/>
      <c r="H29" s="134">
        <f>M29+P29+S29+V29+Y29+AB29+AE29+AH29+AK29+AN29+AQ29+AT29+AW29</f>
        <v>1624.9305683563748</v>
      </c>
      <c r="I29" s="135"/>
      <c r="J29" s="99">
        <f>H29/F29*100</f>
        <v>66.33566540157157</v>
      </c>
      <c r="K29" s="140">
        <f>H29-F29</f>
        <v>-824.6273859049511</v>
      </c>
      <c r="L29" s="119">
        <v>0</v>
      </c>
      <c r="M29" s="119">
        <v>0</v>
      </c>
      <c r="N29" s="45"/>
      <c r="O29" s="119">
        <v>0</v>
      </c>
      <c r="P29" s="119">
        <v>0</v>
      </c>
      <c r="Q29" s="45"/>
      <c r="R29" s="96">
        <v>0</v>
      </c>
      <c r="S29" s="96">
        <f>(15-S13)*S9*S27</f>
        <v>0</v>
      </c>
      <c r="T29" s="41"/>
      <c r="U29" s="119">
        <v>0</v>
      </c>
      <c r="V29" s="119">
        <v>0</v>
      </c>
      <c r="W29" s="45"/>
      <c r="X29" s="119">
        <f>(15-X13)*X9*X27</f>
        <v>2049.971119133574</v>
      </c>
      <c r="Y29" s="119">
        <v>0</v>
      </c>
      <c r="Z29" s="45"/>
      <c r="AA29" s="119">
        <v>0</v>
      </c>
      <c r="AB29" s="119">
        <v>0</v>
      </c>
      <c r="AC29" s="45"/>
      <c r="AD29" s="119">
        <f>(15-AD13)*AD9*AD27</f>
        <v>95.09448818897638</v>
      </c>
      <c r="AE29" s="119">
        <v>0</v>
      </c>
      <c r="AF29" s="45"/>
      <c r="AG29" s="119">
        <v>0</v>
      </c>
      <c r="AH29" s="119">
        <f>(15-AH13)*AH9*AH27</f>
        <v>1012.3333333333334</v>
      </c>
      <c r="AI29" s="45"/>
      <c r="AJ29" s="119">
        <v>0</v>
      </c>
      <c r="AK29" s="119">
        <v>0</v>
      </c>
      <c r="AL29" s="45"/>
      <c r="AM29" s="119">
        <f>(15-AM13)*AM9*AM27</f>
        <v>304.49234693877554</v>
      </c>
      <c r="AN29" s="119">
        <f>(15-AN13)*AN9*AN27</f>
        <v>612.5972350230414</v>
      </c>
      <c r="AO29" s="45"/>
      <c r="AP29" s="119">
        <v>0</v>
      </c>
      <c r="AQ29" s="119">
        <v>0</v>
      </c>
      <c r="AR29" s="45"/>
      <c r="AS29" s="119">
        <v>0</v>
      </c>
      <c r="AT29" s="119">
        <v>0</v>
      </c>
      <c r="AU29" s="45"/>
      <c r="AV29" s="119">
        <v>0</v>
      </c>
      <c r="AW29" s="119">
        <v>0</v>
      </c>
      <c r="AX29" s="108"/>
    </row>
    <row r="30" spans="1:50" ht="51" customHeight="1">
      <c r="A30" s="142"/>
      <c r="B30" s="80" t="s">
        <v>73</v>
      </c>
      <c r="C30" s="80"/>
      <c r="D30" s="89"/>
      <c r="E30" s="90"/>
      <c r="F30" s="136"/>
      <c r="G30" s="137"/>
      <c r="H30" s="136"/>
      <c r="I30" s="137"/>
      <c r="J30" s="100"/>
      <c r="K30" s="130"/>
      <c r="L30" s="125"/>
      <c r="M30" s="125"/>
      <c r="N30" s="46"/>
      <c r="O30" s="125"/>
      <c r="P30" s="125"/>
      <c r="Q30" s="46"/>
      <c r="R30" s="132"/>
      <c r="S30" s="132"/>
      <c r="T30" s="51"/>
      <c r="U30" s="125"/>
      <c r="V30" s="125"/>
      <c r="W30" s="46"/>
      <c r="X30" s="125"/>
      <c r="Y30" s="125"/>
      <c r="Z30" s="46"/>
      <c r="AA30" s="125"/>
      <c r="AB30" s="125"/>
      <c r="AC30" s="46"/>
      <c r="AD30" s="125"/>
      <c r="AE30" s="125"/>
      <c r="AF30" s="46"/>
      <c r="AG30" s="125"/>
      <c r="AH30" s="125"/>
      <c r="AI30" s="46"/>
      <c r="AJ30" s="125"/>
      <c r="AK30" s="125"/>
      <c r="AL30" s="46"/>
      <c r="AM30" s="125"/>
      <c r="AN30" s="125"/>
      <c r="AO30" s="46"/>
      <c r="AP30" s="125"/>
      <c r="AQ30" s="125"/>
      <c r="AR30" s="46"/>
      <c r="AS30" s="125"/>
      <c r="AT30" s="125"/>
      <c r="AU30" s="46"/>
      <c r="AV30" s="125"/>
      <c r="AW30" s="125"/>
      <c r="AX30" s="130"/>
    </row>
    <row r="31" spans="1:50" ht="15.75" customHeight="1">
      <c r="A31" s="142"/>
      <c r="B31" s="80" t="s">
        <v>74</v>
      </c>
      <c r="C31" s="80"/>
      <c r="D31" s="91"/>
      <c r="E31" s="92"/>
      <c r="F31" s="138"/>
      <c r="G31" s="139"/>
      <c r="H31" s="138"/>
      <c r="I31" s="139"/>
      <c r="J31" s="101"/>
      <c r="K31" s="131"/>
      <c r="L31" s="120"/>
      <c r="M31" s="120"/>
      <c r="N31" s="47"/>
      <c r="O31" s="120"/>
      <c r="P31" s="120"/>
      <c r="Q31" s="47"/>
      <c r="R31" s="133"/>
      <c r="S31" s="133"/>
      <c r="T31" s="44"/>
      <c r="U31" s="120"/>
      <c r="V31" s="120"/>
      <c r="W31" s="47"/>
      <c r="X31" s="120"/>
      <c r="Y31" s="120"/>
      <c r="Z31" s="47"/>
      <c r="AA31" s="120"/>
      <c r="AB31" s="120"/>
      <c r="AC31" s="47"/>
      <c r="AD31" s="120"/>
      <c r="AE31" s="120"/>
      <c r="AF31" s="47"/>
      <c r="AG31" s="120"/>
      <c r="AH31" s="120"/>
      <c r="AI31" s="47"/>
      <c r="AJ31" s="120"/>
      <c r="AK31" s="120"/>
      <c r="AL31" s="47"/>
      <c r="AM31" s="120"/>
      <c r="AN31" s="120"/>
      <c r="AO31" s="47"/>
      <c r="AP31" s="120"/>
      <c r="AQ31" s="120"/>
      <c r="AR31" s="47"/>
      <c r="AS31" s="120"/>
      <c r="AT31" s="120"/>
      <c r="AU31" s="47"/>
      <c r="AV31" s="120"/>
      <c r="AW31" s="120"/>
      <c r="AX31" s="131"/>
    </row>
    <row r="32" spans="1:50" ht="54" customHeight="1">
      <c r="A32" s="142" t="s">
        <v>86</v>
      </c>
      <c r="B32" s="79" t="s">
        <v>91</v>
      </c>
      <c r="C32" s="79"/>
      <c r="D32" s="78" t="s">
        <v>4</v>
      </c>
      <c r="E32" s="78"/>
      <c r="F32" s="134">
        <f>L32+O32+R32+U32+X32+AA32+AD32+AG32+AJ32+AM32+AP32+AS32+AV32</f>
        <v>182.6954081632653</v>
      </c>
      <c r="G32" s="135"/>
      <c r="H32" s="134">
        <f>M32+P32+S32+V32+Y32+AB32+AE32+AH32+AK32+AN32+AQ32+AT32+AW32</f>
        <v>544.530875576037</v>
      </c>
      <c r="I32" s="135"/>
      <c r="J32" s="99">
        <f>H32/F32*100</f>
        <v>298.0539473052428</v>
      </c>
      <c r="K32" s="140">
        <f>H32-F32</f>
        <v>361.8354674127717</v>
      </c>
      <c r="L32" s="126">
        <v>0</v>
      </c>
      <c r="M32" s="126">
        <v>0</v>
      </c>
      <c r="N32" s="48"/>
      <c r="O32" s="126">
        <v>0</v>
      </c>
      <c r="P32" s="126">
        <v>0</v>
      </c>
      <c r="Q32" s="48"/>
      <c r="R32" s="147">
        <v>0</v>
      </c>
      <c r="S32" s="147">
        <v>0</v>
      </c>
      <c r="T32" s="52"/>
      <c r="U32" s="126">
        <v>0</v>
      </c>
      <c r="V32" s="126">
        <v>0</v>
      </c>
      <c r="W32" s="48"/>
      <c r="X32" s="126">
        <v>0</v>
      </c>
      <c r="Y32" s="126">
        <v>0</v>
      </c>
      <c r="Z32" s="48"/>
      <c r="AA32" s="119">
        <v>0</v>
      </c>
      <c r="AB32" s="119">
        <v>0</v>
      </c>
      <c r="AC32" s="45"/>
      <c r="AD32" s="126">
        <v>0</v>
      </c>
      <c r="AE32" s="126">
        <v>0</v>
      </c>
      <c r="AF32" s="48"/>
      <c r="AG32" s="126">
        <v>0</v>
      </c>
      <c r="AH32" s="126">
        <v>0</v>
      </c>
      <c r="AI32" s="48"/>
      <c r="AJ32" s="126">
        <v>0</v>
      </c>
      <c r="AK32" s="126">
        <v>0</v>
      </c>
      <c r="AL32" s="48"/>
      <c r="AM32" s="119">
        <f>(12-AM14)*AM10*AM27</f>
        <v>182.6954081632653</v>
      </c>
      <c r="AN32" s="119">
        <f>(12-AN14)*AN10*AN27</f>
        <v>544.530875576037</v>
      </c>
      <c r="AO32" s="45"/>
      <c r="AP32" s="126">
        <v>0</v>
      </c>
      <c r="AQ32" s="126">
        <v>0</v>
      </c>
      <c r="AR32" s="48"/>
      <c r="AS32" s="126">
        <v>0</v>
      </c>
      <c r="AT32" s="126">
        <v>0</v>
      </c>
      <c r="AU32" s="48"/>
      <c r="AV32" s="126">
        <v>0</v>
      </c>
      <c r="AW32" s="126">
        <v>0</v>
      </c>
      <c r="AX32" s="108"/>
    </row>
    <row r="33" spans="1:50" ht="51" customHeight="1">
      <c r="A33" s="142"/>
      <c r="B33" s="80" t="s">
        <v>75</v>
      </c>
      <c r="C33" s="80"/>
      <c r="D33" s="78"/>
      <c r="E33" s="78"/>
      <c r="F33" s="136"/>
      <c r="G33" s="137"/>
      <c r="H33" s="136"/>
      <c r="I33" s="137"/>
      <c r="J33" s="100"/>
      <c r="K33" s="130"/>
      <c r="L33" s="127"/>
      <c r="M33" s="127"/>
      <c r="N33" s="49"/>
      <c r="O33" s="127"/>
      <c r="P33" s="127"/>
      <c r="Q33" s="49"/>
      <c r="R33" s="97"/>
      <c r="S33" s="97"/>
      <c r="T33" s="42"/>
      <c r="U33" s="127"/>
      <c r="V33" s="127"/>
      <c r="W33" s="49"/>
      <c r="X33" s="127"/>
      <c r="Y33" s="127"/>
      <c r="Z33" s="49"/>
      <c r="AA33" s="125"/>
      <c r="AB33" s="125"/>
      <c r="AC33" s="46"/>
      <c r="AD33" s="127"/>
      <c r="AE33" s="127"/>
      <c r="AF33" s="49"/>
      <c r="AG33" s="127"/>
      <c r="AH33" s="127"/>
      <c r="AI33" s="49"/>
      <c r="AJ33" s="127"/>
      <c r="AK33" s="127"/>
      <c r="AL33" s="49"/>
      <c r="AM33" s="125"/>
      <c r="AN33" s="125"/>
      <c r="AO33" s="46"/>
      <c r="AP33" s="127"/>
      <c r="AQ33" s="127"/>
      <c r="AR33" s="49"/>
      <c r="AS33" s="127"/>
      <c r="AT33" s="127"/>
      <c r="AU33" s="49"/>
      <c r="AV33" s="127"/>
      <c r="AW33" s="127"/>
      <c r="AX33" s="130"/>
    </row>
    <row r="34" spans="1:50" ht="15.75">
      <c r="A34" s="142"/>
      <c r="B34" s="80" t="s">
        <v>74</v>
      </c>
      <c r="C34" s="80"/>
      <c r="D34" s="78"/>
      <c r="E34" s="78"/>
      <c r="F34" s="138"/>
      <c r="G34" s="139"/>
      <c r="H34" s="138"/>
      <c r="I34" s="139"/>
      <c r="J34" s="101"/>
      <c r="K34" s="131"/>
      <c r="L34" s="128"/>
      <c r="M34" s="128"/>
      <c r="N34" s="50"/>
      <c r="O34" s="128"/>
      <c r="P34" s="128"/>
      <c r="Q34" s="50"/>
      <c r="R34" s="98"/>
      <c r="S34" s="98"/>
      <c r="T34" s="43"/>
      <c r="U34" s="128"/>
      <c r="V34" s="128"/>
      <c r="W34" s="50"/>
      <c r="X34" s="128"/>
      <c r="Y34" s="128"/>
      <c r="Z34" s="50"/>
      <c r="AA34" s="120"/>
      <c r="AB34" s="120"/>
      <c r="AC34" s="47"/>
      <c r="AD34" s="128"/>
      <c r="AE34" s="128"/>
      <c r="AF34" s="50"/>
      <c r="AG34" s="128"/>
      <c r="AH34" s="128"/>
      <c r="AI34" s="50"/>
      <c r="AJ34" s="128"/>
      <c r="AK34" s="128"/>
      <c r="AL34" s="50"/>
      <c r="AM34" s="120"/>
      <c r="AN34" s="120"/>
      <c r="AO34" s="47"/>
      <c r="AP34" s="128"/>
      <c r="AQ34" s="128"/>
      <c r="AR34" s="50"/>
      <c r="AS34" s="128"/>
      <c r="AT34" s="128"/>
      <c r="AU34" s="50"/>
      <c r="AV34" s="128"/>
      <c r="AW34" s="128"/>
      <c r="AX34" s="131"/>
    </row>
    <row r="35" spans="1:50" ht="66" customHeight="1">
      <c r="A35" s="142" t="s">
        <v>87</v>
      </c>
      <c r="B35" s="79" t="s">
        <v>76</v>
      </c>
      <c r="C35" s="79"/>
      <c r="D35" s="74" t="s">
        <v>4</v>
      </c>
      <c r="E35" s="74"/>
      <c r="F35" s="134">
        <f>L35+O35+R35+U35+X35+AA35+AD35+AG35+AJ35+AM35+AP35+AS35+AV35</f>
        <v>182.6954081632653</v>
      </c>
      <c r="G35" s="135"/>
      <c r="H35" s="134">
        <f>M35+P35+S35+V35+Y35+AB35+AE35+AH35+AK35+AN35+AQ35+AT35+AW35</f>
        <v>165.63333333333273</v>
      </c>
      <c r="I35" s="135"/>
      <c r="J35" s="99">
        <f>H35/F35*100</f>
        <v>90.66091753401645</v>
      </c>
      <c r="K35" s="140">
        <f>H35-F35</f>
        <v>-17.062074829932584</v>
      </c>
      <c r="L35" s="129">
        <v>0</v>
      </c>
      <c r="M35" s="129">
        <v>0</v>
      </c>
      <c r="N35" s="119"/>
      <c r="O35" s="129">
        <v>0</v>
      </c>
      <c r="P35" s="129">
        <v>0</v>
      </c>
      <c r="Q35" s="119"/>
      <c r="R35" s="148">
        <v>0</v>
      </c>
      <c r="S35" s="148">
        <v>0</v>
      </c>
      <c r="T35" s="119"/>
      <c r="U35" s="129">
        <v>0</v>
      </c>
      <c r="V35" s="129">
        <v>0</v>
      </c>
      <c r="W35" s="119"/>
      <c r="X35" s="129">
        <v>0</v>
      </c>
      <c r="Y35" s="129">
        <v>0</v>
      </c>
      <c r="Z35" s="119"/>
      <c r="AA35" s="129">
        <v>0</v>
      </c>
      <c r="AB35" s="129">
        <v>0</v>
      </c>
      <c r="AC35" s="119"/>
      <c r="AD35" s="129">
        <v>0</v>
      </c>
      <c r="AE35" s="129">
        <v>0</v>
      </c>
      <c r="AF35" s="119"/>
      <c r="AG35" s="129">
        <v>0</v>
      </c>
      <c r="AH35" s="129">
        <v>0</v>
      </c>
      <c r="AI35" s="119"/>
      <c r="AJ35" s="106">
        <v>0</v>
      </c>
      <c r="AK35" s="106">
        <v>0</v>
      </c>
      <c r="AL35" s="119"/>
      <c r="AM35" s="129">
        <f>(20-AM12)*(AM8-AM9-AM10)*AM27</f>
        <v>182.6954081632653</v>
      </c>
      <c r="AN35" s="129">
        <v>0</v>
      </c>
      <c r="AO35" s="119"/>
      <c r="AP35" s="129">
        <v>0</v>
      </c>
      <c r="AQ35" s="129">
        <v>0</v>
      </c>
      <c r="AR35" s="119"/>
      <c r="AS35" s="129">
        <v>0</v>
      </c>
      <c r="AT35" s="129">
        <f>(20-AT12)*(AT8-AT9-AT10)*AT27</f>
        <v>165.63333333333273</v>
      </c>
      <c r="AU35" s="119"/>
      <c r="AV35" s="129">
        <v>0</v>
      </c>
      <c r="AW35" s="129">
        <v>0</v>
      </c>
      <c r="AX35" s="108"/>
    </row>
    <row r="36" spans="1:50" ht="51" customHeight="1">
      <c r="A36" s="142"/>
      <c r="B36" s="80" t="s">
        <v>77</v>
      </c>
      <c r="C36" s="80"/>
      <c r="D36" s="74"/>
      <c r="E36" s="74"/>
      <c r="F36" s="136"/>
      <c r="G36" s="137"/>
      <c r="H36" s="136"/>
      <c r="I36" s="137"/>
      <c r="J36" s="100"/>
      <c r="K36" s="130"/>
      <c r="L36" s="129"/>
      <c r="M36" s="129"/>
      <c r="N36" s="123"/>
      <c r="O36" s="129"/>
      <c r="P36" s="129"/>
      <c r="Q36" s="123"/>
      <c r="R36" s="148"/>
      <c r="S36" s="148"/>
      <c r="T36" s="123"/>
      <c r="U36" s="129"/>
      <c r="V36" s="129"/>
      <c r="W36" s="123"/>
      <c r="X36" s="129"/>
      <c r="Y36" s="129"/>
      <c r="Z36" s="123"/>
      <c r="AA36" s="129"/>
      <c r="AB36" s="129"/>
      <c r="AC36" s="123"/>
      <c r="AD36" s="129"/>
      <c r="AE36" s="129"/>
      <c r="AF36" s="123"/>
      <c r="AG36" s="129"/>
      <c r="AH36" s="129"/>
      <c r="AI36" s="123"/>
      <c r="AJ36" s="106"/>
      <c r="AK36" s="106"/>
      <c r="AL36" s="123"/>
      <c r="AM36" s="129"/>
      <c r="AN36" s="129"/>
      <c r="AO36" s="123"/>
      <c r="AP36" s="129"/>
      <c r="AQ36" s="129"/>
      <c r="AR36" s="123"/>
      <c r="AS36" s="129"/>
      <c r="AT36" s="129"/>
      <c r="AU36" s="123"/>
      <c r="AV36" s="129"/>
      <c r="AW36" s="129"/>
      <c r="AX36" s="130"/>
    </row>
    <row r="37" spans="1:50" ht="15.75">
      <c r="A37" s="142"/>
      <c r="B37" s="80" t="s">
        <v>74</v>
      </c>
      <c r="C37" s="80"/>
      <c r="D37" s="74"/>
      <c r="E37" s="74"/>
      <c r="F37" s="138"/>
      <c r="G37" s="139"/>
      <c r="H37" s="138"/>
      <c r="I37" s="139"/>
      <c r="J37" s="101"/>
      <c r="K37" s="131"/>
      <c r="L37" s="129"/>
      <c r="M37" s="129"/>
      <c r="N37" s="124"/>
      <c r="O37" s="129"/>
      <c r="P37" s="129"/>
      <c r="Q37" s="124"/>
      <c r="R37" s="148"/>
      <c r="S37" s="148"/>
      <c r="T37" s="124"/>
      <c r="U37" s="129"/>
      <c r="V37" s="129"/>
      <c r="W37" s="124"/>
      <c r="X37" s="129"/>
      <c r="Y37" s="129"/>
      <c r="Z37" s="124"/>
      <c r="AA37" s="129"/>
      <c r="AB37" s="129"/>
      <c r="AC37" s="124"/>
      <c r="AD37" s="129"/>
      <c r="AE37" s="129"/>
      <c r="AF37" s="124"/>
      <c r="AG37" s="129"/>
      <c r="AH37" s="129"/>
      <c r="AI37" s="124"/>
      <c r="AJ37" s="106"/>
      <c r="AK37" s="106"/>
      <c r="AL37" s="124"/>
      <c r="AM37" s="129"/>
      <c r="AN37" s="129"/>
      <c r="AO37" s="124"/>
      <c r="AP37" s="129"/>
      <c r="AQ37" s="129"/>
      <c r="AR37" s="124"/>
      <c r="AS37" s="129"/>
      <c r="AT37" s="129"/>
      <c r="AU37" s="124"/>
      <c r="AV37" s="129"/>
      <c r="AW37" s="129"/>
      <c r="AX37" s="131"/>
    </row>
    <row r="38" spans="1:50" ht="15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38"/>
      <c r="M38" s="38"/>
      <c r="N38" s="38">
        <f>SUM(N5:N36)</f>
        <v>5</v>
      </c>
      <c r="O38" s="38"/>
      <c r="P38" s="38"/>
      <c r="Q38" s="38">
        <f>SUM(Q5:Q36)</f>
        <v>7</v>
      </c>
      <c r="R38" s="12"/>
      <c r="S38" s="12"/>
      <c r="T38" s="38">
        <f>SUM(T5:T36)</f>
        <v>5</v>
      </c>
      <c r="U38" s="38"/>
      <c r="V38" s="38"/>
      <c r="W38" s="38">
        <f>SUM(W5:W36)</f>
        <v>5</v>
      </c>
      <c r="X38" s="38"/>
      <c r="Y38" s="38"/>
      <c r="Z38" s="38">
        <f>SUM(Z5:Z36)</f>
        <v>2</v>
      </c>
      <c r="AA38" s="38"/>
      <c r="AB38" s="38"/>
      <c r="AC38" s="38">
        <f>SUM(AC5:AC36)</f>
        <v>0</v>
      </c>
      <c r="AD38" s="38"/>
      <c r="AE38" s="38"/>
      <c r="AF38" s="38">
        <f>SUM(AF5:AF36)</f>
        <v>6</v>
      </c>
      <c r="AG38" s="38"/>
      <c r="AH38" s="38"/>
      <c r="AI38" s="38">
        <f>SUM(AI5:AI36)</f>
        <v>7</v>
      </c>
      <c r="AJ38" s="38"/>
      <c r="AK38" s="38"/>
      <c r="AL38" s="38">
        <f>SUM(AL5:AL36)</f>
        <v>0</v>
      </c>
      <c r="AM38" s="38"/>
      <c r="AN38" s="38"/>
      <c r="AO38" s="38">
        <f>SUM(AO5:AO36)</f>
        <v>2</v>
      </c>
      <c r="AP38" s="38"/>
      <c r="AQ38" s="38"/>
      <c r="AR38" s="38">
        <f>SUM(AR5:AR36)</f>
        <v>0</v>
      </c>
      <c r="AS38" s="38"/>
      <c r="AT38" s="38"/>
      <c r="AU38" s="38">
        <f>SUM(AU5:AU36)</f>
        <v>2</v>
      </c>
      <c r="AV38" s="38"/>
      <c r="AW38" s="38"/>
      <c r="AX38" s="38">
        <f>SUM(AX5:AX36)</f>
        <v>5</v>
      </c>
    </row>
    <row r="39" spans="1:49" ht="12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38"/>
      <c r="M39" s="38"/>
      <c r="N39" s="38"/>
      <c r="O39" s="38"/>
      <c r="P39" s="38"/>
      <c r="Q39" s="38"/>
      <c r="R39" s="12"/>
      <c r="S39" s="12"/>
      <c r="T39" s="12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</row>
    <row r="40" spans="1:49" ht="32.2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</row>
  </sheetData>
  <sheetProtection sheet="1"/>
  <mergeCells count="243">
    <mergeCell ref="AW35:AW37"/>
    <mergeCell ref="AQ35:AQ37"/>
    <mergeCell ref="AS35:AS37"/>
    <mergeCell ref="AT35:AT37"/>
    <mergeCell ref="AV35:AV37"/>
    <mergeCell ref="AK35:AK37"/>
    <mergeCell ref="AM35:AM37"/>
    <mergeCell ref="AN35:AN37"/>
    <mergeCell ref="AP35:AP37"/>
    <mergeCell ref="AL35:AL37"/>
    <mergeCell ref="AG35:AG37"/>
    <mergeCell ref="AH35:AH37"/>
    <mergeCell ref="AJ35:AJ37"/>
    <mergeCell ref="Y35:Y37"/>
    <mergeCell ref="AA35:AA37"/>
    <mergeCell ref="AB35:AB37"/>
    <mergeCell ref="AD35:AD37"/>
    <mergeCell ref="AI35:AI37"/>
    <mergeCell ref="AF35:AF37"/>
    <mergeCell ref="AC35:AC37"/>
    <mergeCell ref="AW32:AW34"/>
    <mergeCell ref="L35:L37"/>
    <mergeCell ref="M35:M37"/>
    <mergeCell ref="O35:O37"/>
    <mergeCell ref="P35:P37"/>
    <mergeCell ref="R35:R37"/>
    <mergeCell ref="S35:S37"/>
    <mergeCell ref="U35:U37"/>
    <mergeCell ref="V35:V37"/>
    <mergeCell ref="X35:X37"/>
    <mergeCell ref="AQ32:AQ34"/>
    <mergeCell ref="AS32:AS34"/>
    <mergeCell ref="AT32:AT34"/>
    <mergeCell ref="AV32:AV34"/>
    <mergeCell ref="AN32:AN34"/>
    <mergeCell ref="AP32:AP34"/>
    <mergeCell ref="AN29:AN31"/>
    <mergeCell ref="AP29:AP31"/>
    <mergeCell ref="AT29:AT31"/>
    <mergeCell ref="AV29:AV31"/>
    <mergeCell ref="AQ29:AQ31"/>
    <mergeCell ref="AS29:AS31"/>
    <mergeCell ref="L32:L34"/>
    <mergeCell ref="M32:M34"/>
    <mergeCell ref="O32:O34"/>
    <mergeCell ref="P32:P34"/>
    <mergeCell ref="R32:R34"/>
    <mergeCell ref="S32:S34"/>
    <mergeCell ref="A1:AW1"/>
    <mergeCell ref="A40:AW40"/>
    <mergeCell ref="L29:L31"/>
    <mergeCell ref="M29:M31"/>
    <mergeCell ref="O29:O31"/>
    <mergeCell ref="P29:P31"/>
    <mergeCell ref="K3:K4"/>
    <mergeCell ref="H3:I4"/>
    <mergeCell ref="F3:G4"/>
    <mergeCell ref="AW29:AW31"/>
    <mergeCell ref="S29:S31"/>
    <mergeCell ref="U29:U31"/>
    <mergeCell ref="V29:V31"/>
    <mergeCell ref="X29:X31"/>
    <mergeCell ref="Y29:Y31"/>
    <mergeCell ref="A2:K2"/>
    <mergeCell ref="D3:E4"/>
    <mergeCell ref="B3:C4"/>
    <mergeCell ref="A3:A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A15:A16"/>
    <mergeCell ref="B15:C15"/>
    <mergeCell ref="D15:E15"/>
    <mergeCell ref="F15:G15"/>
    <mergeCell ref="H15:I15"/>
    <mergeCell ref="B16:C16"/>
    <mergeCell ref="D16:E16"/>
    <mergeCell ref="F16:G16"/>
    <mergeCell ref="H16:I16"/>
    <mergeCell ref="A17:A18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A29:A31"/>
    <mergeCell ref="B29:C29"/>
    <mergeCell ref="B30:C30"/>
    <mergeCell ref="B31:C31"/>
    <mergeCell ref="D29:E31"/>
    <mergeCell ref="F29:G31"/>
    <mergeCell ref="H29:I31"/>
    <mergeCell ref="K29:K31"/>
    <mergeCell ref="A32:A34"/>
    <mergeCell ref="B32:C32"/>
    <mergeCell ref="B33:C33"/>
    <mergeCell ref="B34:C34"/>
    <mergeCell ref="D32:E34"/>
    <mergeCell ref="F32:G34"/>
    <mergeCell ref="H32:I34"/>
    <mergeCell ref="K32:K34"/>
    <mergeCell ref="A35:A37"/>
    <mergeCell ref="B35:C35"/>
    <mergeCell ref="B36:C36"/>
    <mergeCell ref="B37:C37"/>
    <mergeCell ref="D35:E37"/>
    <mergeCell ref="F35:G37"/>
    <mergeCell ref="AM32:AM34"/>
    <mergeCell ref="H35:I37"/>
    <mergeCell ref="K35:K37"/>
    <mergeCell ref="A38:K38"/>
    <mergeCell ref="A39:K39"/>
    <mergeCell ref="AE29:AE31"/>
    <mergeCell ref="AG29:AG31"/>
    <mergeCell ref="V32:V34"/>
    <mergeCell ref="X32:X34"/>
    <mergeCell ref="Y32:Y34"/>
    <mergeCell ref="R29:R31"/>
    <mergeCell ref="AH29:AH31"/>
    <mergeCell ref="AJ29:AJ31"/>
    <mergeCell ref="AK29:AK31"/>
    <mergeCell ref="AM29:AM31"/>
    <mergeCell ref="AE32:AE34"/>
    <mergeCell ref="AG32:AG34"/>
    <mergeCell ref="AH32:AH34"/>
    <mergeCell ref="AJ32:AJ34"/>
    <mergeCell ref="AK32:AK34"/>
    <mergeCell ref="J3:J4"/>
    <mergeCell ref="J29:J31"/>
    <mergeCell ref="J32:J34"/>
    <mergeCell ref="J35:J37"/>
    <mergeCell ref="AB32:AB34"/>
    <mergeCell ref="AD32:AD34"/>
    <mergeCell ref="AA29:AA31"/>
    <mergeCell ref="AB29:AB31"/>
    <mergeCell ref="T35:T37"/>
    <mergeCell ref="Q35:Q37"/>
    <mergeCell ref="L3:N3"/>
    <mergeCell ref="AV3:AX3"/>
    <mergeCell ref="AX29:AX31"/>
    <mergeCell ref="AX32:AX34"/>
    <mergeCell ref="AX35:AX37"/>
    <mergeCell ref="AU35:AU37"/>
    <mergeCell ref="AR35:AR37"/>
    <mergeCell ref="AO35:AO37"/>
    <mergeCell ref="X3:Z3"/>
    <mergeCell ref="U3:W3"/>
    <mergeCell ref="Z35:Z37"/>
    <mergeCell ref="W35:W37"/>
    <mergeCell ref="AD29:AD31"/>
    <mergeCell ref="AA32:AA34"/>
    <mergeCell ref="U32:U34"/>
    <mergeCell ref="AE35:AE37"/>
    <mergeCell ref="R3:T3"/>
    <mergeCell ref="O3:Q3"/>
    <mergeCell ref="N35:N37"/>
    <mergeCell ref="AS3:AU3"/>
    <mergeCell ref="AP3:AR3"/>
    <mergeCell ref="AM3:AO3"/>
    <mergeCell ref="AJ3:AL3"/>
    <mergeCell ref="AG3:AI3"/>
    <mergeCell ref="AD3:AF3"/>
    <mergeCell ref="AA3:AC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2"/>
  <sheetViews>
    <sheetView zoomScalePageLayoutView="0" workbookViewId="0" topLeftCell="A1">
      <pane xSplit="5" ySplit="6" topLeftCell="F5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K70" sqref="K70"/>
    </sheetView>
  </sheetViews>
  <sheetFormatPr defaultColWidth="9.00390625" defaultRowHeight="12.75"/>
  <cols>
    <col min="1" max="1" width="6.375" style="0" customWidth="1"/>
    <col min="2" max="2" width="31.875" style="0" customWidth="1"/>
    <col min="3" max="3" width="9.625" style="0" customWidth="1"/>
    <col min="4" max="4" width="6.375" style="0" customWidth="1"/>
    <col min="5" max="5" width="4.125" style="0" customWidth="1"/>
    <col min="6" max="6" width="7.375" style="0" customWidth="1"/>
    <col min="7" max="7" width="4.375" style="0" customWidth="1"/>
    <col min="8" max="8" width="6.875" style="0" customWidth="1"/>
    <col min="9" max="9" width="4.875" style="0" customWidth="1"/>
    <col min="10" max="10" width="10.375" style="0" customWidth="1"/>
    <col min="11" max="27" width="9.125" style="35" customWidth="1"/>
    <col min="28" max="29" width="9.125" style="1" customWidth="1"/>
  </cols>
  <sheetData>
    <row r="1" spans="1:27" ht="24.75" customHeight="1">
      <c r="A1" s="95" t="s">
        <v>300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10" ht="16.5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2.7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28" ht="15.75">
      <c r="A4" s="74" t="s">
        <v>0</v>
      </c>
      <c r="B4" s="74" t="s">
        <v>53</v>
      </c>
      <c r="C4" s="74"/>
      <c r="D4" s="74" t="s">
        <v>2</v>
      </c>
      <c r="E4" s="74"/>
      <c r="F4" s="74" t="s">
        <v>25</v>
      </c>
      <c r="G4" s="74"/>
      <c r="H4" s="74" t="s">
        <v>24</v>
      </c>
      <c r="I4" s="74"/>
      <c r="J4" s="74" t="s">
        <v>27</v>
      </c>
      <c r="K4" s="103" t="s">
        <v>252</v>
      </c>
      <c r="L4" s="104"/>
      <c r="M4" s="105"/>
      <c r="N4" s="103" t="s">
        <v>253</v>
      </c>
      <c r="O4" s="104"/>
      <c r="P4" s="105"/>
      <c r="Q4" s="103" t="s">
        <v>254</v>
      </c>
      <c r="R4" s="104"/>
      <c r="S4" s="105"/>
      <c r="T4" s="103" t="s">
        <v>255</v>
      </c>
      <c r="U4" s="104"/>
      <c r="V4" s="105"/>
      <c r="W4" s="103" t="s">
        <v>256</v>
      </c>
      <c r="X4" s="104"/>
      <c r="Y4" s="175"/>
      <c r="Z4" s="106" t="s">
        <v>257</v>
      </c>
      <c r="AA4" s="106"/>
      <c r="AB4" s="107"/>
    </row>
    <row r="5" spans="1:28" ht="47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151" t="s">
        <v>237</v>
      </c>
      <c r="L5" s="151" t="s">
        <v>238</v>
      </c>
      <c r="M5" s="149" t="s">
        <v>297</v>
      </c>
      <c r="N5" s="151" t="s">
        <v>237</v>
      </c>
      <c r="O5" s="151" t="s">
        <v>238</v>
      </c>
      <c r="P5" s="149" t="s">
        <v>297</v>
      </c>
      <c r="Q5" s="151" t="s">
        <v>237</v>
      </c>
      <c r="R5" s="151" t="s">
        <v>238</v>
      </c>
      <c r="S5" s="149" t="s">
        <v>297</v>
      </c>
      <c r="T5" s="151" t="s">
        <v>237</v>
      </c>
      <c r="U5" s="151" t="s">
        <v>238</v>
      </c>
      <c r="V5" s="149" t="s">
        <v>297</v>
      </c>
      <c r="W5" s="151" t="s">
        <v>237</v>
      </c>
      <c r="X5" s="151" t="s">
        <v>238</v>
      </c>
      <c r="Y5" s="149" t="s">
        <v>297</v>
      </c>
      <c r="Z5" s="151" t="s">
        <v>237</v>
      </c>
      <c r="AA5" s="151" t="s">
        <v>238</v>
      </c>
      <c r="AB5" s="149" t="s">
        <v>297</v>
      </c>
    </row>
    <row r="6" spans="1:28" ht="47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151"/>
      <c r="L6" s="151"/>
      <c r="M6" s="75"/>
      <c r="N6" s="151"/>
      <c r="O6" s="151"/>
      <c r="P6" s="75"/>
      <c r="Q6" s="151"/>
      <c r="R6" s="151"/>
      <c r="S6" s="75"/>
      <c r="T6" s="151"/>
      <c r="U6" s="151"/>
      <c r="V6" s="75"/>
      <c r="W6" s="151"/>
      <c r="X6" s="151"/>
      <c r="Y6" s="176"/>
      <c r="Z6" s="151"/>
      <c r="AA6" s="151"/>
      <c r="AB6" s="75"/>
    </row>
    <row r="7" spans="1:28" ht="29.25" customHeight="1">
      <c r="A7" s="8" t="s">
        <v>3</v>
      </c>
      <c r="B7" s="78" t="s">
        <v>92</v>
      </c>
      <c r="C7" s="78"/>
      <c r="D7" s="74" t="s">
        <v>93</v>
      </c>
      <c r="E7" s="74"/>
      <c r="F7" s="78">
        <f>K7+N7+Q7+T7+W7+Z7</f>
        <v>127.3</v>
      </c>
      <c r="G7" s="78"/>
      <c r="H7" s="78">
        <f>L7+O7+R7+U7+X7+AA7</f>
        <v>127</v>
      </c>
      <c r="I7" s="78"/>
      <c r="J7" s="9"/>
      <c r="K7" s="32">
        <v>23</v>
      </c>
      <c r="L7" s="32">
        <v>22.7</v>
      </c>
      <c r="M7" s="32"/>
      <c r="N7" s="32">
        <v>16</v>
      </c>
      <c r="O7" s="32">
        <v>16</v>
      </c>
      <c r="P7" s="32"/>
      <c r="Q7" s="32">
        <v>32</v>
      </c>
      <c r="R7" s="32">
        <v>31</v>
      </c>
      <c r="S7" s="32"/>
      <c r="T7" s="32">
        <v>22</v>
      </c>
      <c r="U7" s="32">
        <v>22</v>
      </c>
      <c r="V7" s="32"/>
      <c r="W7" s="32"/>
      <c r="X7" s="32"/>
      <c r="Y7" s="32"/>
      <c r="Z7" s="32">
        <v>34.3</v>
      </c>
      <c r="AA7" s="32">
        <v>35.3</v>
      </c>
      <c r="AB7" s="13"/>
    </row>
    <row r="8" spans="1:28" ht="15.75">
      <c r="A8" s="8" t="s">
        <v>94</v>
      </c>
      <c r="B8" s="110" t="s">
        <v>95</v>
      </c>
      <c r="C8" s="110"/>
      <c r="D8" s="74" t="s">
        <v>93</v>
      </c>
      <c r="E8" s="74"/>
      <c r="F8" s="78">
        <f>K8+N8+Q8+T8+W8+Z8</f>
        <v>98.3</v>
      </c>
      <c r="G8" s="78"/>
      <c r="H8" s="78">
        <f>L8+O8+R8+U8+X8+AA8</f>
        <v>100</v>
      </c>
      <c r="I8" s="78"/>
      <c r="J8" s="9"/>
      <c r="K8" s="32">
        <v>23</v>
      </c>
      <c r="L8" s="32">
        <v>22.7</v>
      </c>
      <c r="M8" s="32"/>
      <c r="N8" s="32"/>
      <c r="O8" s="32"/>
      <c r="P8" s="32"/>
      <c r="Q8" s="32">
        <v>19</v>
      </c>
      <c r="R8" s="32">
        <v>20</v>
      </c>
      <c r="S8" s="32"/>
      <c r="T8" s="32">
        <v>22</v>
      </c>
      <c r="U8" s="32">
        <v>22</v>
      </c>
      <c r="V8" s="32"/>
      <c r="W8" s="32"/>
      <c r="X8" s="32"/>
      <c r="Y8" s="32"/>
      <c r="Z8" s="32">
        <v>34.3</v>
      </c>
      <c r="AA8" s="32">
        <v>35.3</v>
      </c>
      <c r="AB8" s="13"/>
    </row>
    <row r="9" spans="1:28" ht="45.75" customHeight="1">
      <c r="A9" s="8" t="s">
        <v>5</v>
      </c>
      <c r="B9" s="78" t="s">
        <v>96</v>
      </c>
      <c r="C9" s="78"/>
      <c r="D9" s="74" t="s">
        <v>10</v>
      </c>
      <c r="E9" s="74"/>
      <c r="F9" s="78">
        <f>K9+N9+Q9+T9+W9+Z9</f>
        <v>2666.4</v>
      </c>
      <c r="G9" s="78"/>
      <c r="H9" s="78">
        <f>L9+O9+R9+U9+X9+AA9</f>
        <v>2694.2</v>
      </c>
      <c r="I9" s="78"/>
      <c r="J9" s="9"/>
      <c r="K9" s="32">
        <v>555</v>
      </c>
      <c r="L9" s="32">
        <v>554</v>
      </c>
      <c r="M9" s="32"/>
      <c r="N9" s="32">
        <v>173</v>
      </c>
      <c r="O9" s="32">
        <v>187</v>
      </c>
      <c r="P9" s="32"/>
      <c r="Q9" s="32">
        <v>513</v>
      </c>
      <c r="R9" s="32">
        <v>512</v>
      </c>
      <c r="S9" s="32"/>
      <c r="T9" s="32">
        <v>538</v>
      </c>
      <c r="U9" s="32">
        <v>555</v>
      </c>
      <c r="V9" s="32"/>
      <c r="W9" s="32"/>
      <c r="X9" s="32"/>
      <c r="Y9" s="32"/>
      <c r="Z9" s="32">
        <v>887.4</v>
      </c>
      <c r="AA9" s="32">
        <v>886.2</v>
      </c>
      <c r="AB9" s="13"/>
    </row>
    <row r="10" spans="1:28" ht="31.5" customHeight="1">
      <c r="A10" s="8" t="s">
        <v>47</v>
      </c>
      <c r="B10" s="110" t="s">
        <v>97</v>
      </c>
      <c r="C10" s="110"/>
      <c r="D10" s="74" t="s">
        <v>10</v>
      </c>
      <c r="E10" s="74"/>
      <c r="F10" s="78">
        <f>K10+N10+Q10+T10+W10+Z10</f>
        <v>2380.4</v>
      </c>
      <c r="G10" s="78"/>
      <c r="H10" s="78">
        <f>L10+O10+R10+U10+X10+AA10</f>
        <v>2396.2</v>
      </c>
      <c r="I10" s="78"/>
      <c r="J10" s="9"/>
      <c r="K10" s="32">
        <v>555</v>
      </c>
      <c r="L10" s="32">
        <v>554</v>
      </c>
      <c r="M10" s="32"/>
      <c r="N10" s="32"/>
      <c r="O10" s="32"/>
      <c r="P10" s="32"/>
      <c r="Q10" s="32">
        <v>400</v>
      </c>
      <c r="R10" s="32">
        <v>401</v>
      </c>
      <c r="S10" s="32"/>
      <c r="T10" s="32">
        <v>538</v>
      </c>
      <c r="U10" s="32">
        <v>555</v>
      </c>
      <c r="V10" s="32"/>
      <c r="W10" s="32"/>
      <c r="X10" s="32"/>
      <c r="Y10" s="32"/>
      <c r="Z10" s="32">
        <v>887.4</v>
      </c>
      <c r="AA10" s="32">
        <v>886.2</v>
      </c>
      <c r="AB10" s="13"/>
    </row>
    <row r="11" spans="1:28" ht="15.75">
      <c r="A11" s="8" t="s">
        <v>6</v>
      </c>
      <c r="B11" s="78" t="s">
        <v>98</v>
      </c>
      <c r="C11" s="78"/>
      <c r="D11" s="74" t="s">
        <v>99</v>
      </c>
      <c r="E11" s="74"/>
      <c r="F11" s="85">
        <f>F9/F7</f>
        <v>20.945797329143755</v>
      </c>
      <c r="G11" s="85"/>
      <c r="H11" s="85">
        <f>H9/H7</f>
        <v>21.214173228346457</v>
      </c>
      <c r="I11" s="85"/>
      <c r="J11" s="26"/>
      <c r="K11" s="37">
        <f>K9/K7</f>
        <v>24.130434782608695</v>
      </c>
      <c r="L11" s="37">
        <f aca="true" t="shared" si="0" ref="L11:AA11">L9/L7</f>
        <v>24.405286343612335</v>
      </c>
      <c r="M11" s="37"/>
      <c r="N11" s="37">
        <f t="shared" si="0"/>
        <v>10.8125</v>
      </c>
      <c r="O11" s="37">
        <f t="shared" si="0"/>
        <v>11.6875</v>
      </c>
      <c r="P11" s="37"/>
      <c r="Q11" s="37">
        <f t="shared" si="0"/>
        <v>16.03125</v>
      </c>
      <c r="R11" s="37">
        <f t="shared" si="0"/>
        <v>16.516129032258064</v>
      </c>
      <c r="S11" s="37"/>
      <c r="T11" s="37">
        <f t="shared" si="0"/>
        <v>24.454545454545453</v>
      </c>
      <c r="U11" s="37">
        <f t="shared" si="0"/>
        <v>25.227272727272727</v>
      </c>
      <c r="V11" s="37"/>
      <c r="W11" s="37" t="e">
        <f t="shared" si="0"/>
        <v>#DIV/0!</v>
      </c>
      <c r="X11" s="37" t="e">
        <f t="shared" si="0"/>
        <v>#DIV/0!</v>
      </c>
      <c r="Y11" s="37"/>
      <c r="Z11" s="37">
        <f t="shared" si="0"/>
        <v>25.87172011661808</v>
      </c>
      <c r="AA11" s="37">
        <f t="shared" si="0"/>
        <v>25.104815864022665</v>
      </c>
      <c r="AB11" s="13"/>
    </row>
    <row r="12" spans="1:28" ht="31.5" customHeight="1">
      <c r="A12" s="8" t="s">
        <v>80</v>
      </c>
      <c r="B12" s="110" t="s">
        <v>100</v>
      </c>
      <c r="C12" s="110"/>
      <c r="D12" s="74" t="s">
        <v>99</v>
      </c>
      <c r="E12" s="74"/>
      <c r="F12" s="85">
        <f>F10/F8</f>
        <v>24.21566632756867</v>
      </c>
      <c r="G12" s="85"/>
      <c r="H12" s="85">
        <f>H10/H8</f>
        <v>23.962</v>
      </c>
      <c r="I12" s="85"/>
      <c r="J12" s="26"/>
      <c r="K12" s="37">
        <f>K10/K8</f>
        <v>24.130434782608695</v>
      </c>
      <c r="L12" s="37">
        <f aca="true" t="shared" si="1" ref="L12:AA12">L10/L8</f>
        <v>24.405286343612335</v>
      </c>
      <c r="M12" s="37">
        <v>0</v>
      </c>
      <c r="N12" s="37" t="e">
        <f t="shared" si="1"/>
        <v>#DIV/0!</v>
      </c>
      <c r="O12" s="37" t="e">
        <f t="shared" si="1"/>
        <v>#DIV/0!</v>
      </c>
      <c r="P12" s="37"/>
      <c r="Q12" s="37">
        <f t="shared" si="1"/>
        <v>21.05263157894737</v>
      </c>
      <c r="R12" s="37">
        <f t="shared" si="1"/>
        <v>20.05</v>
      </c>
      <c r="S12" s="37">
        <v>0</v>
      </c>
      <c r="T12" s="37">
        <f t="shared" si="1"/>
        <v>24.454545454545453</v>
      </c>
      <c r="U12" s="37">
        <f t="shared" si="1"/>
        <v>25.227272727272727</v>
      </c>
      <c r="V12" s="37">
        <v>3</v>
      </c>
      <c r="W12" s="37" t="e">
        <f t="shared" si="1"/>
        <v>#DIV/0!</v>
      </c>
      <c r="X12" s="37" t="e">
        <f t="shared" si="1"/>
        <v>#DIV/0!</v>
      </c>
      <c r="Y12" s="37"/>
      <c r="Z12" s="37">
        <f t="shared" si="1"/>
        <v>25.87172011661808</v>
      </c>
      <c r="AA12" s="37">
        <f t="shared" si="1"/>
        <v>25.104815864022665</v>
      </c>
      <c r="AB12" s="13">
        <v>3</v>
      </c>
    </row>
    <row r="13" spans="1:28" ht="15.75">
      <c r="A13" s="8" t="s">
        <v>101</v>
      </c>
      <c r="B13" s="110" t="s">
        <v>102</v>
      </c>
      <c r="C13" s="110"/>
      <c r="D13" s="74"/>
      <c r="E13" s="74"/>
      <c r="F13" s="85">
        <f>(F9-F10)/(F7-F8)</f>
        <v>9.862068965517242</v>
      </c>
      <c r="G13" s="85"/>
      <c r="H13" s="85">
        <f>(H9-H10)/(H7-H8)</f>
        <v>11.037037037037036</v>
      </c>
      <c r="I13" s="85"/>
      <c r="J13" s="26"/>
      <c r="K13" s="37" t="e">
        <f aca="true" t="shared" si="2" ref="K13:R13">(K9-K10)/(K7-K8)</f>
        <v>#DIV/0!</v>
      </c>
      <c r="L13" s="37" t="e">
        <f t="shared" si="2"/>
        <v>#DIV/0!</v>
      </c>
      <c r="M13" s="37"/>
      <c r="N13" s="37">
        <f t="shared" si="2"/>
        <v>10.8125</v>
      </c>
      <c r="O13" s="37">
        <f t="shared" si="2"/>
        <v>11.6875</v>
      </c>
      <c r="P13" s="37">
        <v>0</v>
      </c>
      <c r="Q13" s="37">
        <f t="shared" si="2"/>
        <v>8.692307692307692</v>
      </c>
      <c r="R13" s="37">
        <f t="shared" si="2"/>
        <v>10.090909090909092</v>
      </c>
      <c r="S13" s="37"/>
      <c r="T13" s="37">
        <v>0</v>
      </c>
      <c r="U13" s="37">
        <v>0</v>
      </c>
      <c r="V13" s="37"/>
      <c r="W13" s="37">
        <v>0</v>
      </c>
      <c r="X13" s="37">
        <v>0</v>
      </c>
      <c r="Y13" s="37"/>
      <c r="Z13" s="37">
        <v>0</v>
      </c>
      <c r="AA13" s="37">
        <v>0</v>
      </c>
      <c r="AB13" s="13"/>
    </row>
    <row r="14" spans="1:28" ht="66" customHeight="1">
      <c r="A14" s="8" t="s">
        <v>7</v>
      </c>
      <c r="B14" s="78" t="s">
        <v>103</v>
      </c>
      <c r="C14" s="78"/>
      <c r="D14" s="74" t="s">
        <v>10</v>
      </c>
      <c r="E14" s="74"/>
      <c r="F14" s="78">
        <f aca="true" t="shared" si="3" ref="F14:F21">K14+N14+Q14+T14+W14+Z14</f>
        <v>409.8</v>
      </c>
      <c r="G14" s="78"/>
      <c r="H14" s="78">
        <f>L14+O14+R14+U14+X14+AA14</f>
        <v>414</v>
      </c>
      <c r="I14" s="78"/>
      <c r="J14" s="9"/>
      <c r="K14" s="32">
        <v>80.3</v>
      </c>
      <c r="L14" s="32">
        <v>80.5</v>
      </c>
      <c r="M14" s="32"/>
      <c r="N14" s="32">
        <v>91.7</v>
      </c>
      <c r="O14" s="32">
        <v>92.8</v>
      </c>
      <c r="P14" s="32"/>
      <c r="Q14" s="32">
        <v>74.8</v>
      </c>
      <c r="R14" s="32">
        <v>77.7</v>
      </c>
      <c r="S14" s="32"/>
      <c r="T14" s="32">
        <v>89</v>
      </c>
      <c r="U14" s="32">
        <v>86</v>
      </c>
      <c r="V14" s="32"/>
      <c r="W14" s="32"/>
      <c r="X14" s="32"/>
      <c r="Y14" s="32"/>
      <c r="Z14" s="32">
        <v>74</v>
      </c>
      <c r="AA14" s="32">
        <v>77</v>
      </c>
      <c r="AB14" s="13"/>
    </row>
    <row r="15" spans="1:28" ht="15.75">
      <c r="A15" s="8" t="s">
        <v>104</v>
      </c>
      <c r="B15" s="110" t="s">
        <v>105</v>
      </c>
      <c r="C15" s="110"/>
      <c r="D15" s="74" t="s">
        <v>10</v>
      </c>
      <c r="E15" s="74"/>
      <c r="F15" s="78">
        <f t="shared" si="3"/>
        <v>194</v>
      </c>
      <c r="G15" s="78"/>
      <c r="H15" s="78">
        <f aca="true" t="shared" si="4" ref="H15:H20">L15+O15+R15+U15+X15+AA15</f>
        <v>200.2</v>
      </c>
      <c r="I15" s="78"/>
      <c r="J15" s="9"/>
      <c r="K15" s="32">
        <v>41</v>
      </c>
      <c r="L15" s="32">
        <v>42</v>
      </c>
      <c r="M15" s="32"/>
      <c r="N15" s="32">
        <v>27</v>
      </c>
      <c r="O15" s="32">
        <v>28</v>
      </c>
      <c r="P15" s="32"/>
      <c r="Q15" s="32">
        <v>41</v>
      </c>
      <c r="R15" s="32">
        <v>45.2</v>
      </c>
      <c r="S15" s="32"/>
      <c r="T15" s="32">
        <v>38</v>
      </c>
      <c r="U15" s="32">
        <v>37</v>
      </c>
      <c r="V15" s="32"/>
      <c r="W15" s="32"/>
      <c r="X15" s="32"/>
      <c r="Y15" s="32"/>
      <c r="Z15" s="32">
        <v>47</v>
      </c>
      <c r="AA15" s="32">
        <v>48</v>
      </c>
      <c r="AB15" s="13"/>
    </row>
    <row r="16" spans="1:28" ht="31.5" customHeight="1">
      <c r="A16" s="8" t="s">
        <v>106</v>
      </c>
      <c r="B16" s="110" t="s">
        <v>107</v>
      </c>
      <c r="C16" s="110"/>
      <c r="D16" s="74" t="s">
        <v>108</v>
      </c>
      <c r="E16" s="74"/>
      <c r="F16" s="78">
        <f t="shared" si="3"/>
        <v>10</v>
      </c>
      <c r="G16" s="78"/>
      <c r="H16" s="78">
        <f t="shared" si="4"/>
        <v>17</v>
      </c>
      <c r="I16" s="78"/>
      <c r="J16" s="9"/>
      <c r="K16" s="32">
        <v>1</v>
      </c>
      <c r="L16" s="32">
        <v>1</v>
      </c>
      <c r="M16" s="32">
        <v>0</v>
      </c>
      <c r="N16" s="32">
        <v>0</v>
      </c>
      <c r="O16" s="32">
        <v>4</v>
      </c>
      <c r="P16" s="32">
        <v>2</v>
      </c>
      <c r="Q16" s="32">
        <v>1</v>
      </c>
      <c r="R16" s="32">
        <v>4</v>
      </c>
      <c r="S16" s="32">
        <v>2</v>
      </c>
      <c r="T16" s="32">
        <v>3</v>
      </c>
      <c r="U16" s="32">
        <v>3</v>
      </c>
      <c r="V16" s="32">
        <v>2</v>
      </c>
      <c r="W16" s="32"/>
      <c r="X16" s="32"/>
      <c r="Y16" s="32"/>
      <c r="Z16" s="32">
        <v>5</v>
      </c>
      <c r="AA16" s="32">
        <v>5</v>
      </c>
      <c r="AB16" s="13">
        <v>2</v>
      </c>
    </row>
    <row r="17" spans="1:28" ht="45.75" customHeight="1">
      <c r="A17" s="8" t="s">
        <v>109</v>
      </c>
      <c r="B17" s="110" t="s">
        <v>110</v>
      </c>
      <c r="C17" s="110"/>
      <c r="D17" s="74" t="s">
        <v>10</v>
      </c>
      <c r="E17" s="74"/>
      <c r="F17" s="78">
        <f t="shared" si="3"/>
        <v>215.8</v>
      </c>
      <c r="G17" s="78"/>
      <c r="H17" s="78">
        <f t="shared" si="4"/>
        <v>213.8</v>
      </c>
      <c r="I17" s="78"/>
      <c r="J17" s="9"/>
      <c r="K17" s="32">
        <v>39.3</v>
      </c>
      <c r="L17" s="32">
        <v>38.5</v>
      </c>
      <c r="M17" s="32"/>
      <c r="N17" s="32">
        <v>64.7</v>
      </c>
      <c r="O17" s="32">
        <v>64.8</v>
      </c>
      <c r="P17" s="32"/>
      <c r="Q17" s="32">
        <v>33.8</v>
      </c>
      <c r="R17" s="32">
        <v>32.5</v>
      </c>
      <c r="S17" s="32"/>
      <c r="T17" s="32">
        <v>51</v>
      </c>
      <c r="U17" s="32">
        <v>49</v>
      </c>
      <c r="V17" s="32"/>
      <c r="W17" s="32"/>
      <c r="X17" s="32"/>
      <c r="Y17" s="32"/>
      <c r="Z17" s="32">
        <v>27</v>
      </c>
      <c r="AA17" s="32">
        <v>29</v>
      </c>
      <c r="AB17" s="13"/>
    </row>
    <row r="18" spans="1:28" ht="31.5" customHeight="1">
      <c r="A18" s="8" t="s">
        <v>9</v>
      </c>
      <c r="B18" s="78" t="s">
        <v>32</v>
      </c>
      <c r="C18" s="78"/>
      <c r="D18" s="74" t="s">
        <v>4</v>
      </c>
      <c r="E18" s="74"/>
      <c r="F18" s="78">
        <f t="shared" si="3"/>
        <v>57054.100000000006</v>
      </c>
      <c r="G18" s="78"/>
      <c r="H18" s="78">
        <f t="shared" si="4"/>
        <v>72735.70000000001</v>
      </c>
      <c r="I18" s="78"/>
      <c r="J18" s="9"/>
      <c r="K18" s="32">
        <v>13185.9</v>
      </c>
      <c r="L18" s="32">
        <v>16648</v>
      </c>
      <c r="M18" s="32"/>
      <c r="N18" s="32">
        <v>11870.5</v>
      </c>
      <c r="O18" s="32">
        <v>16631.3</v>
      </c>
      <c r="P18" s="32"/>
      <c r="Q18" s="32">
        <v>9446.7</v>
      </c>
      <c r="R18" s="32">
        <v>11200.4</v>
      </c>
      <c r="S18" s="32"/>
      <c r="T18" s="32">
        <v>11302</v>
      </c>
      <c r="U18" s="32">
        <v>14534.5</v>
      </c>
      <c r="V18" s="32"/>
      <c r="W18" s="32"/>
      <c r="X18" s="32"/>
      <c r="Y18" s="32"/>
      <c r="Z18" s="32">
        <v>11249</v>
      </c>
      <c r="AA18" s="32">
        <v>13721.5</v>
      </c>
      <c r="AB18" s="13"/>
    </row>
    <row r="19" spans="1:28" ht="31.5" customHeight="1">
      <c r="A19" s="8" t="s">
        <v>11</v>
      </c>
      <c r="B19" s="78" t="s">
        <v>111</v>
      </c>
      <c r="C19" s="78"/>
      <c r="D19" s="74" t="s">
        <v>14</v>
      </c>
      <c r="E19" s="74"/>
      <c r="F19" s="118">
        <f>F18/F14*1000</f>
        <v>139224.25573450467</v>
      </c>
      <c r="G19" s="118"/>
      <c r="H19" s="118">
        <f>H18/H14*1000</f>
        <v>175690.09661835752</v>
      </c>
      <c r="I19" s="118"/>
      <c r="J19" s="9"/>
      <c r="K19" s="34">
        <f aca="true" t="shared" si="5" ref="K19:R19">(K18/K14)/12*1000</f>
        <v>13683.997509339973</v>
      </c>
      <c r="L19" s="34">
        <f t="shared" si="5"/>
        <v>17233.954451345755</v>
      </c>
      <c r="M19" s="34"/>
      <c r="N19" s="34">
        <f t="shared" si="5"/>
        <v>10787.440930570701</v>
      </c>
      <c r="O19" s="34">
        <f t="shared" si="5"/>
        <v>14934.716235632182</v>
      </c>
      <c r="P19" s="34"/>
      <c r="Q19" s="34">
        <f t="shared" si="5"/>
        <v>10524.398395721926</v>
      </c>
      <c r="R19" s="34">
        <f t="shared" si="5"/>
        <v>12012.441012441011</v>
      </c>
      <c r="S19" s="34"/>
      <c r="T19" s="34">
        <f>(T18/T14)/12*1000</f>
        <v>10582.397003745318</v>
      </c>
      <c r="U19" s="34">
        <f>(U18/U14)/12*1000</f>
        <v>14083.817829457364</v>
      </c>
      <c r="V19" s="34"/>
      <c r="W19" s="34" t="e">
        <f>(W18/W14)/6*1000</f>
        <v>#DIV/0!</v>
      </c>
      <c r="X19" s="34" t="e">
        <f>(X18/X14)/6*1000</f>
        <v>#DIV/0!</v>
      </c>
      <c r="Y19" s="34"/>
      <c r="Z19" s="34">
        <f>(Z18/Z14)/12*1000</f>
        <v>12667.792792792794</v>
      </c>
      <c r="AA19" s="34">
        <f>(AA18/AA14)/12*1000</f>
        <v>14850.108225108224</v>
      </c>
      <c r="AB19" s="13"/>
    </row>
    <row r="20" spans="1:28" ht="15.75">
      <c r="A20" s="8" t="s">
        <v>112</v>
      </c>
      <c r="B20" s="110" t="s">
        <v>113</v>
      </c>
      <c r="C20" s="110"/>
      <c r="D20" s="74" t="s">
        <v>14</v>
      </c>
      <c r="E20" s="74"/>
      <c r="F20" s="78">
        <f t="shared" si="3"/>
        <v>68583</v>
      </c>
      <c r="G20" s="78"/>
      <c r="H20" s="78">
        <f t="shared" si="4"/>
        <v>84802</v>
      </c>
      <c r="I20" s="78"/>
      <c r="J20" s="9"/>
      <c r="K20" s="32">
        <v>16867</v>
      </c>
      <c r="L20" s="32">
        <v>19330</v>
      </c>
      <c r="M20" s="32"/>
      <c r="N20" s="32">
        <v>14590</v>
      </c>
      <c r="O20" s="32">
        <v>18752</v>
      </c>
      <c r="P20" s="32"/>
      <c r="Q20" s="32">
        <v>12688</v>
      </c>
      <c r="R20" s="32">
        <v>13543</v>
      </c>
      <c r="S20" s="32"/>
      <c r="T20" s="32">
        <v>12820</v>
      </c>
      <c r="U20" s="32">
        <v>17797</v>
      </c>
      <c r="V20" s="32"/>
      <c r="W20" s="32"/>
      <c r="X20" s="32"/>
      <c r="Y20" s="32"/>
      <c r="Z20" s="32">
        <v>11618</v>
      </c>
      <c r="AA20" s="32">
        <v>15380</v>
      </c>
      <c r="AB20" s="13"/>
    </row>
    <row r="21" spans="1:28" ht="78.75" customHeight="1">
      <c r="A21" s="8" t="s">
        <v>114</v>
      </c>
      <c r="B21" s="110" t="s">
        <v>115</v>
      </c>
      <c r="C21" s="110"/>
      <c r="D21" s="74" t="s">
        <v>14</v>
      </c>
      <c r="E21" s="74"/>
      <c r="F21" s="78">
        <f t="shared" si="3"/>
        <v>49643</v>
      </c>
      <c r="G21" s="78"/>
      <c r="H21" s="78">
        <f>L21+O21+R21+U21+X21+AA21</f>
        <v>63367</v>
      </c>
      <c r="I21" s="78"/>
      <c r="J21" s="9"/>
      <c r="K21" s="32">
        <v>12951</v>
      </c>
      <c r="L21" s="32">
        <v>14930</v>
      </c>
      <c r="M21" s="32"/>
      <c r="N21" s="32">
        <v>9196</v>
      </c>
      <c r="O21" s="32">
        <v>13289</v>
      </c>
      <c r="P21" s="32"/>
      <c r="Q21" s="32">
        <v>7900</v>
      </c>
      <c r="R21" s="32">
        <v>9897</v>
      </c>
      <c r="S21" s="32"/>
      <c r="T21" s="32">
        <v>8914</v>
      </c>
      <c r="U21" s="32">
        <v>11279</v>
      </c>
      <c r="V21" s="32"/>
      <c r="W21" s="32"/>
      <c r="X21" s="32"/>
      <c r="Y21" s="32"/>
      <c r="Z21" s="32">
        <v>10682</v>
      </c>
      <c r="AA21" s="32">
        <v>13972</v>
      </c>
      <c r="AB21" s="13"/>
    </row>
    <row r="22" spans="1:28" ht="47.25" customHeight="1">
      <c r="A22" s="8" t="s">
        <v>12</v>
      </c>
      <c r="B22" s="78" t="s">
        <v>116</v>
      </c>
      <c r="C22" s="78"/>
      <c r="D22" s="74" t="s">
        <v>117</v>
      </c>
      <c r="E22" s="74"/>
      <c r="F22" s="85">
        <f>F9/F14</f>
        <v>6.506588579795022</v>
      </c>
      <c r="G22" s="85"/>
      <c r="H22" s="85">
        <f>H9/H14</f>
        <v>6.507729468599034</v>
      </c>
      <c r="I22" s="85"/>
      <c r="J22" s="26"/>
      <c r="K22" s="37">
        <f>K9/K14</f>
        <v>6.911581569115816</v>
      </c>
      <c r="L22" s="37">
        <f aca="true" t="shared" si="6" ref="L22:AA22">L9/L14</f>
        <v>6.881987577639752</v>
      </c>
      <c r="M22" s="37"/>
      <c r="N22" s="37">
        <f t="shared" si="6"/>
        <v>1.886586695747001</v>
      </c>
      <c r="O22" s="37">
        <f t="shared" si="6"/>
        <v>2.0150862068965516</v>
      </c>
      <c r="P22" s="37"/>
      <c r="Q22" s="37">
        <f t="shared" si="6"/>
        <v>6.858288770053476</v>
      </c>
      <c r="R22" s="37">
        <f t="shared" si="6"/>
        <v>6.589446589446589</v>
      </c>
      <c r="S22" s="37"/>
      <c r="T22" s="37">
        <f>T9/T14</f>
        <v>6.044943820224719</v>
      </c>
      <c r="U22" s="37">
        <f t="shared" si="6"/>
        <v>6.453488372093023</v>
      </c>
      <c r="V22" s="37"/>
      <c r="W22" s="37" t="e">
        <f t="shared" si="6"/>
        <v>#DIV/0!</v>
      </c>
      <c r="X22" s="37" t="e">
        <f t="shared" si="6"/>
        <v>#DIV/0!</v>
      </c>
      <c r="Y22" s="37"/>
      <c r="Z22" s="37">
        <f t="shared" si="6"/>
        <v>11.99189189189189</v>
      </c>
      <c r="AA22" s="37">
        <f t="shared" si="6"/>
        <v>11.50909090909091</v>
      </c>
      <c r="AB22" s="13"/>
    </row>
    <row r="23" spans="1:28" ht="15.75">
      <c r="A23" s="8" t="s">
        <v>118</v>
      </c>
      <c r="B23" s="110" t="s">
        <v>119</v>
      </c>
      <c r="C23" s="110"/>
      <c r="D23" s="74" t="s">
        <v>117</v>
      </c>
      <c r="E23" s="74"/>
      <c r="F23" s="85">
        <f>F9/F15</f>
        <v>13.744329896907217</v>
      </c>
      <c r="G23" s="85"/>
      <c r="H23" s="85">
        <f>H9/H15</f>
        <v>13.457542457542457</v>
      </c>
      <c r="I23" s="85"/>
      <c r="J23" s="26"/>
      <c r="K23" s="37">
        <f>K9/K15</f>
        <v>13.536585365853659</v>
      </c>
      <c r="L23" s="37">
        <f aca="true" t="shared" si="7" ref="L23:AA23">L9/L15</f>
        <v>13.19047619047619</v>
      </c>
      <c r="M23" s="37">
        <v>0</v>
      </c>
      <c r="N23" s="37">
        <f t="shared" si="7"/>
        <v>6.407407407407407</v>
      </c>
      <c r="O23" s="37">
        <f t="shared" si="7"/>
        <v>6.678571428571429</v>
      </c>
      <c r="P23" s="37">
        <v>0</v>
      </c>
      <c r="Q23" s="37">
        <f t="shared" si="7"/>
        <v>12.512195121951219</v>
      </c>
      <c r="R23" s="37">
        <f t="shared" si="7"/>
        <v>11.327433628318584</v>
      </c>
      <c r="S23" s="37">
        <v>0</v>
      </c>
      <c r="T23" s="37">
        <f t="shared" si="7"/>
        <v>14.157894736842104</v>
      </c>
      <c r="U23" s="37">
        <f t="shared" si="7"/>
        <v>15</v>
      </c>
      <c r="V23" s="37">
        <v>3</v>
      </c>
      <c r="W23" s="37" t="e">
        <f t="shared" si="7"/>
        <v>#DIV/0!</v>
      </c>
      <c r="X23" s="37" t="e">
        <f t="shared" si="7"/>
        <v>#DIV/0!</v>
      </c>
      <c r="Y23" s="37"/>
      <c r="Z23" s="37">
        <f t="shared" si="7"/>
        <v>18.880851063829788</v>
      </c>
      <c r="AA23" s="37">
        <f t="shared" si="7"/>
        <v>18.462500000000002</v>
      </c>
      <c r="AB23" s="13">
        <v>3</v>
      </c>
    </row>
    <row r="24" spans="1:28" ht="15.75" customHeight="1">
      <c r="A24" s="77" t="s">
        <v>120</v>
      </c>
      <c r="B24" s="158" t="s">
        <v>258</v>
      </c>
      <c r="C24" s="159"/>
      <c r="D24" s="74" t="s">
        <v>117</v>
      </c>
      <c r="E24" s="74"/>
      <c r="F24" s="85">
        <f>F9/F17</f>
        <v>12.355885078776645</v>
      </c>
      <c r="G24" s="85"/>
      <c r="H24" s="85">
        <f>H9/H17</f>
        <v>12.601496725912066</v>
      </c>
      <c r="I24" s="85"/>
      <c r="J24" s="85"/>
      <c r="K24" s="162">
        <f>K9/K17</f>
        <v>14.122137404580153</v>
      </c>
      <c r="L24" s="162">
        <f aca="true" t="shared" si="8" ref="L24:AA24">L9/L17</f>
        <v>14.38961038961039</v>
      </c>
      <c r="M24" s="150"/>
      <c r="N24" s="162">
        <f t="shared" si="8"/>
        <v>2.6738794435857804</v>
      </c>
      <c r="O24" s="162">
        <f t="shared" si="8"/>
        <v>2.8858024691358026</v>
      </c>
      <c r="P24" s="150"/>
      <c r="Q24" s="162">
        <f t="shared" si="8"/>
        <v>15.177514792899409</v>
      </c>
      <c r="R24" s="162">
        <f t="shared" si="8"/>
        <v>15.753846153846155</v>
      </c>
      <c r="S24" s="150"/>
      <c r="T24" s="162">
        <f t="shared" si="8"/>
        <v>10.549019607843137</v>
      </c>
      <c r="U24" s="162">
        <f t="shared" si="8"/>
        <v>11.326530612244898</v>
      </c>
      <c r="V24" s="150"/>
      <c r="W24" s="162" t="e">
        <f t="shared" si="8"/>
        <v>#DIV/0!</v>
      </c>
      <c r="X24" s="162" t="e">
        <f t="shared" si="8"/>
        <v>#DIV/0!</v>
      </c>
      <c r="Y24" s="150"/>
      <c r="Z24" s="162">
        <f t="shared" si="8"/>
        <v>32.86666666666667</v>
      </c>
      <c r="AA24" s="162">
        <f t="shared" si="8"/>
        <v>30.558620689655175</v>
      </c>
      <c r="AB24" s="150"/>
    </row>
    <row r="25" spans="1:28" ht="15.75" customHeight="1">
      <c r="A25" s="77"/>
      <c r="B25" s="160"/>
      <c r="C25" s="161"/>
      <c r="D25" s="74"/>
      <c r="E25" s="74"/>
      <c r="F25" s="85"/>
      <c r="G25" s="85"/>
      <c r="H25" s="85"/>
      <c r="I25" s="85"/>
      <c r="J25" s="85"/>
      <c r="K25" s="162"/>
      <c r="L25" s="162"/>
      <c r="M25" s="101"/>
      <c r="N25" s="162"/>
      <c r="O25" s="162"/>
      <c r="P25" s="101"/>
      <c r="Q25" s="162"/>
      <c r="R25" s="162"/>
      <c r="S25" s="101"/>
      <c r="T25" s="162"/>
      <c r="U25" s="162"/>
      <c r="V25" s="101"/>
      <c r="W25" s="162"/>
      <c r="X25" s="162"/>
      <c r="Y25" s="177"/>
      <c r="Z25" s="162"/>
      <c r="AA25" s="162"/>
      <c r="AB25" s="101"/>
    </row>
    <row r="26" spans="1:28" ht="63" customHeight="1">
      <c r="A26" s="8" t="s">
        <v>15</v>
      </c>
      <c r="B26" s="78" t="s">
        <v>121</v>
      </c>
      <c r="C26" s="78"/>
      <c r="D26" s="74" t="s">
        <v>4</v>
      </c>
      <c r="E26" s="74"/>
      <c r="F26" s="78">
        <f>K26+N26+Q26+T26+W26+Z26</f>
        <v>111387.3</v>
      </c>
      <c r="G26" s="78"/>
      <c r="H26" s="78">
        <f>L26+O26+R26+U26+X26+AA26</f>
        <v>134580.90000000002</v>
      </c>
      <c r="I26" s="78"/>
      <c r="J26" s="9"/>
      <c r="K26" s="32">
        <v>22236</v>
      </c>
      <c r="L26" s="32">
        <v>26286.8</v>
      </c>
      <c r="M26" s="32"/>
      <c r="N26" s="32">
        <v>31056.8</v>
      </c>
      <c r="O26" s="32">
        <v>38244.3</v>
      </c>
      <c r="P26" s="32"/>
      <c r="Q26" s="32">
        <v>18778.7</v>
      </c>
      <c r="R26" s="32">
        <v>22258.3</v>
      </c>
      <c r="S26" s="32"/>
      <c r="T26" s="32">
        <v>18643.8</v>
      </c>
      <c r="U26" s="32">
        <v>23600.9</v>
      </c>
      <c r="V26" s="32"/>
      <c r="W26" s="32"/>
      <c r="X26" s="32"/>
      <c r="Y26" s="32"/>
      <c r="Z26" s="32">
        <v>20672</v>
      </c>
      <c r="AA26" s="32">
        <v>24190.6</v>
      </c>
      <c r="AB26" s="13"/>
    </row>
    <row r="27" spans="1:28" ht="31.5" customHeight="1">
      <c r="A27" s="8" t="s">
        <v>16</v>
      </c>
      <c r="B27" s="78" t="s">
        <v>122</v>
      </c>
      <c r="C27" s="78"/>
      <c r="D27" s="74" t="s">
        <v>4</v>
      </c>
      <c r="E27" s="74"/>
      <c r="F27" s="85">
        <f>F26/F9</f>
        <v>41.77441494149415</v>
      </c>
      <c r="G27" s="85"/>
      <c r="H27" s="85">
        <f>H26/H9</f>
        <v>49.9520822507609</v>
      </c>
      <c r="I27" s="85"/>
      <c r="J27" s="9"/>
      <c r="K27" s="37">
        <f>K26/K9</f>
        <v>40.064864864864866</v>
      </c>
      <c r="L27" s="37">
        <f aca="true" t="shared" si="9" ref="L27:AA27">L26/L9</f>
        <v>47.44909747292419</v>
      </c>
      <c r="M27" s="37"/>
      <c r="N27" s="37">
        <f t="shared" si="9"/>
        <v>179.51907514450866</v>
      </c>
      <c r="O27" s="37">
        <f t="shared" si="9"/>
        <v>204.5149732620321</v>
      </c>
      <c r="P27" s="37"/>
      <c r="Q27" s="37">
        <f t="shared" si="9"/>
        <v>36.6056530214425</v>
      </c>
      <c r="R27" s="37">
        <f t="shared" si="9"/>
        <v>43.4732421875</v>
      </c>
      <c r="S27" s="37"/>
      <c r="T27" s="37">
        <f t="shared" si="9"/>
        <v>34.653903345724906</v>
      </c>
      <c r="U27" s="37">
        <f t="shared" si="9"/>
        <v>42.524144144144145</v>
      </c>
      <c r="V27" s="37"/>
      <c r="W27" s="37" t="e">
        <f t="shared" si="9"/>
        <v>#DIV/0!</v>
      </c>
      <c r="X27" s="37" t="e">
        <f t="shared" si="9"/>
        <v>#DIV/0!</v>
      </c>
      <c r="Y27" s="37"/>
      <c r="Z27" s="37">
        <f t="shared" si="9"/>
        <v>23.295019157088124</v>
      </c>
      <c r="AA27" s="37">
        <f t="shared" si="9"/>
        <v>27.296998420221165</v>
      </c>
      <c r="AB27" s="13"/>
    </row>
    <row r="28" spans="1:28" ht="90" customHeight="1">
      <c r="A28" s="77" t="s">
        <v>18</v>
      </c>
      <c r="B28" s="78" t="s">
        <v>123</v>
      </c>
      <c r="C28" s="78"/>
      <c r="D28" s="74" t="s">
        <v>125</v>
      </c>
      <c r="E28" s="74"/>
      <c r="F28" s="115"/>
      <c r="G28" s="157"/>
      <c r="H28" s="115"/>
      <c r="I28" s="157"/>
      <c r="J28" s="78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13"/>
    </row>
    <row r="29" spans="1:28" ht="15.75">
      <c r="A29" s="77"/>
      <c r="B29" s="156" t="s">
        <v>124</v>
      </c>
      <c r="C29" s="156"/>
      <c r="D29" s="74"/>
      <c r="E29" s="74"/>
      <c r="F29" s="163">
        <f>(F26-F18)/F7*1000</f>
        <v>426812.2545168892</v>
      </c>
      <c r="G29" s="164"/>
      <c r="H29" s="163">
        <f>(H26-H18)/H7*1000</f>
        <v>486970.0787401576</v>
      </c>
      <c r="I29" s="164"/>
      <c r="J29" s="78"/>
      <c r="K29" s="32">
        <f>(K26-K18)/K7*1000</f>
        <v>393482.60869565216</v>
      </c>
      <c r="L29" s="32">
        <f>(L26-L18)/L7*1000</f>
        <v>424616.7400881057</v>
      </c>
      <c r="M29" s="32"/>
      <c r="N29" s="32">
        <f aca="true" t="shared" si="10" ref="N29:AA29">(N26-N18)/N7*1000</f>
        <v>1199143.75</v>
      </c>
      <c r="O29" s="32">
        <f t="shared" si="10"/>
        <v>1350812.5000000002</v>
      </c>
      <c r="P29" s="32"/>
      <c r="Q29" s="32">
        <f t="shared" si="10"/>
        <v>291625</v>
      </c>
      <c r="R29" s="32">
        <f t="shared" si="10"/>
        <v>356706.4516129032</v>
      </c>
      <c r="S29" s="32"/>
      <c r="T29" s="32">
        <f>(T26-T18)/T7*1000</f>
        <v>333718.18181818177</v>
      </c>
      <c r="U29" s="32">
        <f t="shared" si="10"/>
        <v>412109.090909091</v>
      </c>
      <c r="V29" s="32"/>
      <c r="W29" s="32" t="e">
        <f t="shared" si="10"/>
        <v>#DIV/0!</v>
      </c>
      <c r="X29" s="32" t="e">
        <f t="shared" si="10"/>
        <v>#DIV/0!</v>
      </c>
      <c r="Y29" s="32"/>
      <c r="Z29" s="32">
        <f t="shared" si="10"/>
        <v>274723.0320699709</v>
      </c>
      <c r="AA29" s="32">
        <f t="shared" si="10"/>
        <v>296575.0708215297</v>
      </c>
      <c r="AB29" s="13"/>
    </row>
    <row r="30" spans="1:28" ht="46.5" customHeight="1">
      <c r="A30" s="8" t="s">
        <v>19</v>
      </c>
      <c r="B30" s="78" t="s">
        <v>126</v>
      </c>
      <c r="C30" s="78"/>
      <c r="D30" s="74" t="s">
        <v>4</v>
      </c>
      <c r="E30" s="74"/>
      <c r="F30" s="85">
        <f>K30+N30+Q30+T30+W30+Z30</f>
        <v>25147.110950639995</v>
      </c>
      <c r="G30" s="85"/>
      <c r="H30" s="85">
        <f>L30+O30+R30+U30+X30+AA30</f>
        <v>32327.183365344004</v>
      </c>
      <c r="I30" s="85"/>
      <c r="J30" s="9"/>
      <c r="K30" s="37">
        <f>K31+K38</f>
        <v>5038.321120559999</v>
      </c>
      <c r="L30" s="37">
        <f>L31+L38</f>
        <v>5944.836589440001</v>
      </c>
      <c r="M30" s="37"/>
      <c r="N30" s="37">
        <f aca="true" t="shared" si="11" ref="N30:AA30">N31+N38</f>
        <v>11943.419697215999</v>
      </c>
      <c r="O30" s="37">
        <f t="shared" si="11"/>
        <v>16633.363740336</v>
      </c>
      <c r="P30" s="37"/>
      <c r="Q30" s="37">
        <f t="shared" si="11"/>
        <v>3282.6492719999997</v>
      </c>
      <c r="R30" s="37">
        <f t="shared" si="11"/>
        <v>4569.786244128001</v>
      </c>
      <c r="S30" s="37"/>
      <c r="T30" s="37">
        <f t="shared" si="11"/>
        <v>4882.720860864</v>
      </c>
      <c r="U30" s="37">
        <f t="shared" si="11"/>
        <v>5179.196791439999</v>
      </c>
      <c r="V30" s="37"/>
      <c r="W30" s="37">
        <f t="shared" si="11"/>
        <v>0</v>
      </c>
      <c r="X30" s="37">
        <f t="shared" si="11"/>
        <v>0</v>
      </c>
      <c r="Y30" s="37"/>
      <c r="Z30" s="37">
        <f t="shared" si="11"/>
        <v>0</v>
      </c>
      <c r="AA30" s="37">
        <f t="shared" si="11"/>
        <v>0</v>
      </c>
      <c r="AB30" s="13"/>
    </row>
    <row r="31" spans="1:28" ht="47.25" customHeight="1">
      <c r="A31" s="77" t="s">
        <v>127</v>
      </c>
      <c r="B31" s="78" t="s">
        <v>128</v>
      </c>
      <c r="C31" s="78"/>
      <c r="D31" s="74"/>
      <c r="E31" s="74"/>
      <c r="F31" s="85">
        <f>K31+N31+Q31+T31+W31+Z31</f>
        <v>6355.1307455999995</v>
      </c>
      <c r="G31" s="78"/>
      <c r="H31" s="85">
        <f>L31+O31+R31+U31+X31+AA31</f>
        <v>8422.829654400002</v>
      </c>
      <c r="I31" s="78"/>
      <c r="J31" s="78"/>
      <c r="K31" s="37">
        <f aca="true" t="shared" si="12" ref="K31:T31">K32*K33</f>
        <v>1054.120032</v>
      </c>
      <c r="L31" s="37">
        <f t="shared" si="12"/>
        <v>1530.1937280000009</v>
      </c>
      <c r="M31" s="37"/>
      <c r="N31" s="37">
        <f t="shared" si="12"/>
        <v>3525.6910080000002</v>
      </c>
      <c r="O31" s="37">
        <f t="shared" si="12"/>
        <v>4550.9753856</v>
      </c>
      <c r="P31" s="37"/>
      <c r="Q31" s="37">
        <f t="shared" si="12"/>
        <v>1348.0137215999996</v>
      </c>
      <c r="R31" s="37">
        <f t="shared" si="12"/>
        <v>2341.660540800001</v>
      </c>
      <c r="S31" s="37"/>
      <c r="T31" s="37">
        <f t="shared" si="12"/>
        <v>427.3059839999999</v>
      </c>
      <c r="U31" s="37">
        <f>U32*U33</f>
        <v>0</v>
      </c>
      <c r="V31" s="37"/>
      <c r="W31" s="37">
        <v>0</v>
      </c>
      <c r="X31" s="37">
        <v>0</v>
      </c>
      <c r="Y31" s="37"/>
      <c r="Z31" s="37">
        <v>0</v>
      </c>
      <c r="AA31" s="37">
        <v>0</v>
      </c>
      <c r="AB31" s="13"/>
    </row>
    <row r="32" spans="1:28" ht="15.75" customHeight="1">
      <c r="A32" s="77"/>
      <c r="B32" s="79" t="s">
        <v>129</v>
      </c>
      <c r="C32" s="79"/>
      <c r="D32" s="74"/>
      <c r="E32" s="74"/>
      <c r="F32" s="78"/>
      <c r="G32" s="78"/>
      <c r="H32" s="78"/>
      <c r="I32" s="78"/>
      <c r="J32" s="78"/>
      <c r="K32" s="37">
        <f aca="true" t="shared" si="13" ref="K32:T32">K15-(K9/15)</f>
        <v>4</v>
      </c>
      <c r="L32" s="37">
        <f t="shared" si="13"/>
        <v>5.06666666666667</v>
      </c>
      <c r="M32" s="37"/>
      <c r="N32" s="37">
        <f t="shared" si="13"/>
        <v>15.466666666666667</v>
      </c>
      <c r="O32" s="37">
        <f t="shared" si="13"/>
        <v>15.533333333333333</v>
      </c>
      <c r="P32" s="37"/>
      <c r="Q32" s="37">
        <f t="shared" si="13"/>
        <v>6.799999999999997</v>
      </c>
      <c r="R32" s="37">
        <f t="shared" si="13"/>
        <v>11.06666666666667</v>
      </c>
      <c r="S32" s="37"/>
      <c r="T32" s="37">
        <f t="shared" si="13"/>
        <v>2.133333333333333</v>
      </c>
      <c r="U32" s="37">
        <f>U15-(U9/15)</f>
        <v>0</v>
      </c>
      <c r="V32" s="37"/>
      <c r="W32" s="37">
        <v>0</v>
      </c>
      <c r="X32" s="37">
        <v>0</v>
      </c>
      <c r="Y32" s="37"/>
      <c r="Z32" s="37">
        <v>0</v>
      </c>
      <c r="AA32" s="37">
        <v>0</v>
      </c>
      <c r="AB32" s="13"/>
    </row>
    <row r="33" spans="1:28" ht="15.75">
      <c r="A33" s="77"/>
      <c r="B33" s="79" t="s">
        <v>130</v>
      </c>
      <c r="C33" s="79"/>
      <c r="D33" s="74"/>
      <c r="E33" s="74"/>
      <c r="F33" s="78"/>
      <c r="G33" s="78"/>
      <c r="H33" s="78"/>
      <c r="I33" s="78"/>
      <c r="J33" s="78"/>
      <c r="K33" s="37">
        <f aca="true" t="shared" si="14" ref="K33:R33">(K20*1.302*12)/1000</f>
        <v>263.530008</v>
      </c>
      <c r="L33" s="37">
        <f t="shared" si="14"/>
        <v>302.01192</v>
      </c>
      <c r="M33" s="37"/>
      <c r="N33" s="37">
        <f t="shared" si="14"/>
        <v>227.95416</v>
      </c>
      <c r="O33" s="37">
        <f t="shared" si="14"/>
        <v>292.981248</v>
      </c>
      <c r="P33" s="37"/>
      <c r="Q33" s="37">
        <f t="shared" si="14"/>
        <v>198.23731200000003</v>
      </c>
      <c r="R33" s="37">
        <f t="shared" si="14"/>
        <v>211.595832</v>
      </c>
      <c r="S33" s="37"/>
      <c r="T33" s="37">
        <f>(T20*1.302*12)/1000</f>
        <v>200.29968</v>
      </c>
      <c r="U33" s="37">
        <f>(U20*1.302*12)/1000</f>
        <v>278.06032799999997</v>
      </c>
      <c r="V33" s="37"/>
      <c r="W33" s="37">
        <v>0</v>
      </c>
      <c r="X33" s="37">
        <v>0</v>
      </c>
      <c r="Y33" s="37"/>
      <c r="Z33" s="37">
        <v>0</v>
      </c>
      <c r="AA33" s="37">
        <v>0</v>
      </c>
      <c r="AB33" s="13"/>
    </row>
    <row r="34" spans="1:28" ht="30" customHeight="1">
      <c r="A34" s="77"/>
      <c r="B34" s="154" t="s">
        <v>131</v>
      </c>
      <c r="C34" s="154"/>
      <c r="D34" s="74" t="s">
        <v>4</v>
      </c>
      <c r="E34" s="74"/>
      <c r="F34" s="78"/>
      <c r="G34" s="78"/>
      <c r="H34" s="78"/>
      <c r="I34" s="78"/>
      <c r="J34" s="78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13"/>
    </row>
    <row r="35" spans="1:28" ht="60" customHeight="1">
      <c r="A35" s="77"/>
      <c r="B35" s="154" t="s">
        <v>132</v>
      </c>
      <c r="C35" s="154"/>
      <c r="D35" s="74"/>
      <c r="E35" s="74"/>
      <c r="F35" s="78"/>
      <c r="G35" s="78"/>
      <c r="H35" s="78"/>
      <c r="I35" s="78"/>
      <c r="J35" s="78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13"/>
    </row>
    <row r="36" spans="1:28" ht="15" customHeight="1">
      <c r="A36" s="77"/>
      <c r="B36" s="154" t="s">
        <v>133</v>
      </c>
      <c r="C36" s="154"/>
      <c r="D36" s="74"/>
      <c r="E36" s="74"/>
      <c r="F36" s="78"/>
      <c r="G36" s="78"/>
      <c r="H36" s="78"/>
      <c r="I36" s="78"/>
      <c r="J36" s="78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13"/>
    </row>
    <row r="37" spans="1:28" ht="29.25" customHeight="1">
      <c r="A37" s="77"/>
      <c r="B37" s="156" t="s">
        <v>134</v>
      </c>
      <c r="C37" s="156"/>
      <c r="D37" s="74"/>
      <c r="E37" s="74"/>
      <c r="F37" s="78"/>
      <c r="G37" s="78"/>
      <c r="H37" s="78"/>
      <c r="I37" s="78"/>
      <c r="J37" s="78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13"/>
    </row>
    <row r="38" spans="1:28" ht="63" customHeight="1">
      <c r="A38" s="77" t="s">
        <v>135</v>
      </c>
      <c r="B38" s="78" t="s">
        <v>136</v>
      </c>
      <c r="C38" s="78"/>
      <c r="D38" s="74" t="s">
        <v>4</v>
      </c>
      <c r="E38" s="74"/>
      <c r="F38" s="85">
        <f>K38+N38+Q38+T38+W38+Z38</f>
        <v>18791.98020504</v>
      </c>
      <c r="G38" s="78"/>
      <c r="H38" s="85">
        <f>L38+O38+R38+U38+X38+AA38</f>
        <v>23904.353710944</v>
      </c>
      <c r="I38" s="78"/>
      <c r="J38" s="78"/>
      <c r="K38" s="37">
        <f>K39*K40</f>
        <v>3984.201088559999</v>
      </c>
      <c r="L38" s="37">
        <f aca="true" t="shared" si="15" ref="L38:X38">L39*L40</f>
        <v>4414.64286144</v>
      </c>
      <c r="M38" s="37"/>
      <c r="N38" s="37">
        <f t="shared" si="15"/>
        <v>8417.728689216</v>
      </c>
      <c r="O38" s="37">
        <f t="shared" si="15"/>
        <v>12082.388354736</v>
      </c>
      <c r="P38" s="37"/>
      <c r="Q38" s="37">
        <f t="shared" si="15"/>
        <v>1934.6355504</v>
      </c>
      <c r="R38" s="37">
        <f t="shared" si="15"/>
        <v>2228.125703328</v>
      </c>
      <c r="S38" s="37"/>
      <c r="T38" s="37">
        <f t="shared" si="15"/>
        <v>4455.414876864001</v>
      </c>
      <c r="U38" s="37">
        <f t="shared" si="15"/>
        <v>5179.196791439999</v>
      </c>
      <c r="V38" s="37"/>
      <c r="W38" s="37">
        <f t="shared" si="15"/>
        <v>0</v>
      </c>
      <c r="X38" s="37">
        <f t="shared" si="15"/>
        <v>0</v>
      </c>
      <c r="Y38" s="37"/>
      <c r="Z38" s="37">
        <v>0</v>
      </c>
      <c r="AA38" s="37">
        <v>0</v>
      </c>
      <c r="AB38" s="13"/>
    </row>
    <row r="39" spans="1:28" ht="15.75" customHeight="1">
      <c r="A39" s="77"/>
      <c r="B39" s="79" t="s">
        <v>137</v>
      </c>
      <c r="C39" s="79"/>
      <c r="D39" s="74"/>
      <c r="E39" s="74"/>
      <c r="F39" s="78"/>
      <c r="G39" s="78"/>
      <c r="H39" s="78"/>
      <c r="I39" s="78"/>
      <c r="J39" s="78"/>
      <c r="K39" s="37">
        <f>K17-(0.53*K9/15)</f>
        <v>19.689999999999994</v>
      </c>
      <c r="L39" s="37">
        <f aca="true" t="shared" si="16" ref="L39:X39">L17-(0.53*L9/15)</f>
        <v>18.925333333333334</v>
      </c>
      <c r="M39" s="37"/>
      <c r="N39" s="37">
        <f t="shared" si="16"/>
        <v>58.58733333333333</v>
      </c>
      <c r="O39" s="37">
        <f t="shared" si="16"/>
        <v>58.19266666666667</v>
      </c>
      <c r="P39" s="37"/>
      <c r="Q39" s="37">
        <f t="shared" si="16"/>
        <v>15.674</v>
      </c>
      <c r="R39" s="37">
        <f t="shared" si="16"/>
        <v>14.409333333333333</v>
      </c>
      <c r="S39" s="37"/>
      <c r="T39" s="37">
        <f t="shared" si="16"/>
        <v>31.990666666666666</v>
      </c>
      <c r="U39" s="37">
        <f t="shared" si="16"/>
        <v>29.389999999999997</v>
      </c>
      <c r="V39" s="37"/>
      <c r="W39" s="37">
        <f t="shared" si="16"/>
        <v>0</v>
      </c>
      <c r="X39" s="37">
        <f t="shared" si="16"/>
        <v>0</v>
      </c>
      <c r="Y39" s="37"/>
      <c r="Z39" s="37">
        <v>0</v>
      </c>
      <c r="AA39" s="37">
        <v>0</v>
      </c>
      <c r="AB39" s="13"/>
    </row>
    <row r="40" spans="1:28" ht="15.75">
      <c r="A40" s="77"/>
      <c r="B40" s="79" t="s">
        <v>138</v>
      </c>
      <c r="C40" s="79"/>
      <c r="D40" s="74"/>
      <c r="E40" s="74"/>
      <c r="F40" s="78"/>
      <c r="G40" s="78"/>
      <c r="H40" s="78"/>
      <c r="I40" s="78"/>
      <c r="J40" s="78"/>
      <c r="K40" s="37">
        <f aca="true" t="shared" si="17" ref="K40:R40">(K21*1.302*12)/1000</f>
        <v>202.346424</v>
      </c>
      <c r="L40" s="37">
        <f t="shared" si="17"/>
        <v>233.26632</v>
      </c>
      <c r="M40" s="37"/>
      <c r="N40" s="37">
        <f t="shared" si="17"/>
        <v>143.678304</v>
      </c>
      <c r="O40" s="37">
        <f t="shared" si="17"/>
        <v>207.627336</v>
      </c>
      <c r="P40" s="37"/>
      <c r="Q40" s="37">
        <f t="shared" si="17"/>
        <v>123.42960000000001</v>
      </c>
      <c r="R40" s="37">
        <f t="shared" si="17"/>
        <v>154.630728</v>
      </c>
      <c r="S40" s="37"/>
      <c r="T40" s="37">
        <f>(T21*1.302*12)/1000</f>
        <v>139.27233600000002</v>
      </c>
      <c r="U40" s="37">
        <f>(U21*1.302*12)/1000</f>
        <v>176.223096</v>
      </c>
      <c r="V40" s="37"/>
      <c r="W40" s="37">
        <f>(W21*1.302*6)/1000</f>
        <v>0</v>
      </c>
      <c r="X40" s="37">
        <f>(X21*1.302*6)/1000</f>
        <v>0</v>
      </c>
      <c r="Y40" s="37"/>
      <c r="Z40" s="37">
        <v>0</v>
      </c>
      <c r="AA40" s="37">
        <v>0</v>
      </c>
      <c r="AB40" s="13"/>
    </row>
    <row r="41" spans="1:28" ht="30" customHeight="1">
      <c r="A41" s="77"/>
      <c r="B41" s="154" t="s">
        <v>139</v>
      </c>
      <c r="C41" s="154"/>
      <c r="D41" s="74"/>
      <c r="E41" s="74"/>
      <c r="F41" s="78"/>
      <c r="G41" s="78"/>
      <c r="H41" s="78"/>
      <c r="I41" s="78"/>
      <c r="J41" s="78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13"/>
    </row>
    <row r="42" spans="1:28" ht="30" customHeight="1">
      <c r="A42" s="77"/>
      <c r="B42" s="154" t="s">
        <v>140</v>
      </c>
      <c r="C42" s="154"/>
      <c r="D42" s="74"/>
      <c r="E42" s="74"/>
      <c r="F42" s="78"/>
      <c r="G42" s="78"/>
      <c r="H42" s="78"/>
      <c r="I42" s="78"/>
      <c r="J42" s="78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13"/>
    </row>
    <row r="43" spans="1:28" ht="62.25" customHeight="1">
      <c r="A43" s="77"/>
      <c r="B43" s="154" t="s">
        <v>141</v>
      </c>
      <c r="C43" s="154"/>
      <c r="D43" s="74"/>
      <c r="E43" s="74"/>
      <c r="F43" s="78"/>
      <c r="G43" s="78"/>
      <c r="H43" s="78"/>
      <c r="I43" s="78"/>
      <c r="J43" s="78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13"/>
    </row>
    <row r="44" spans="1:28" ht="15" customHeight="1">
      <c r="A44" s="77"/>
      <c r="B44" s="154" t="s">
        <v>142</v>
      </c>
      <c r="C44" s="154"/>
      <c r="D44" s="74"/>
      <c r="E44" s="74"/>
      <c r="F44" s="78"/>
      <c r="G44" s="78"/>
      <c r="H44" s="78"/>
      <c r="I44" s="78"/>
      <c r="J44" s="78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13"/>
    </row>
    <row r="45" spans="1:28" ht="30" customHeight="1">
      <c r="A45" s="77"/>
      <c r="B45" s="156" t="s">
        <v>143</v>
      </c>
      <c r="C45" s="156"/>
      <c r="D45" s="74"/>
      <c r="E45" s="74"/>
      <c r="F45" s="78"/>
      <c r="G45" s="78"/>
      <c r="H45" s="78"/>
      <c r="I45" s="78"/>
      <c r="J45" s="78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13"/>
    </row>
    <row r="46" spans="1:28" ht="46.5" customHeight="1">
      <c r="A46" s="8" t="s">
        <v>21</v>
      </c>
      <c r="B46" s="78" t="s">
        <v>144</v>
      </c>
      <c r="C46" s="78"/>
      <c r="D46" s="74" t="s">
        <v>4</v>
      </c>
      <c r="E46" s="74"/>
      <c r="F46" s="85" t="e">
        <f>K46+N46+Q46+T46+W46+Z46</f>
        <v>#DIV/0!</v>
      </c>
      <c r="G46" s="85"/>
      <c r="H46" s="85" t="e">
        <f>L46+O46+R46+U46+X46+AA46</f>
        <v>#DIV/0!</v>
      </c>
      <c r="I46" s="85"/>
      <c r="J46" s="9"/>
      <c r="K46" s="37">
        <f>K48+K56</f>
        <v>314.786086956522</v>
      </c>
      <c r="L46" s="37">
        <f aca="true" t="shared" si="18" ref="L46:AA46">L48+L56</f>
        <v>229.2930396475767</v>
      </c>
      <c r="M46" s="37"/>
      <c r="N46" s="37">
        <f t="shared" si="18"/>
        <v>1898.6442708333338</v>
      </c>
      <c r="O46" s="37">
        <f t="shared" si="18"/>
        <v>562.838541666666</v>
      </c>
      <c r="P46" s="37"/>
      <c r="Q46" s="37">
        <f t="shared" si="18"/>
        <v>1919.8645833333335</v>
      </c>
      <c r="R46" s="37">
        <f t="shared" si="18"/>
        <v>2036.7938387096774</v>
      </c>
      <c r="S46" s="37"/>
      <c r="T46" s="37">
        <f t="shared" si="18"/>
        <v>160.18472727272737</v>
      </c>
      <c r="U46" s="37">
        <f t="shared" si="18"/>
        <v>0</v>
      </c>
      <c r="V46" s="37"/>
      <c r="W46" s="37" t="e">
        <f t="shared" si="18"/>
        <v>#DIV/0!</v>
      </c>
      <c r="X46" s="37" t="e">
        <f t="shared" si="18"/>
        <v>#DIV/0!</v>
      </c>
      <c r="Y46" s="37"/>
      <c r="Z46" s="37">
        <f t="shared" si="18"/>
        <v>0</v>
      </c>
      <c r="AA46" s="37">
        <f t="shared" si="18"/>
        <v>0</v>
      </c>
      <c r="AB46" s="13"/>
    </row>
    <row r="47" spans="1:28" ht="31.5" customHeight="1">
      <c r="A47" s="77" t="s">
        <v>49</v>
      </c>
      <c r="B47" s="78" t="s">
        <v>145</v>
      </c>
      <c r="C47" s="78"/>
      <c r="D47" s="74" t="s">
        <v>4</v>
      </c>
      <c r="E47" s="74"/>
      <c r="F47" s="85" t="e">
        <f>K48+N48+Q48+T48+W48+Z48</f>
        <v>#DIV/0!</v>
      </c>
      <c r="G47" s="78"/>
      <c r="H47" s="85" t="e">
        <f>L48+O48+R48+U48+X48+AA48</f>
        <v>#DIV/0!</v>
      </c>
      <c r="I47" s="78"/>
      <c r="J47" s="78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13"/>
    </row>
    <row r="48" spans="1:28" ht="15.75">
      <c r="A48" s="77"/>
      <c r="B48" s="79" t="s">
        <v>146</v>
      </c>
      <c r="C48" s="79"/>
      <c r="D48" s="74"/>
      <c r="E48" s="74"/>
      <c r="F48" s="78"/>
      <c r="G48" s="78"/>
      <c r="H48" s="78"/>
      <c r="I48" s="78"/>
      <c r="J48" s="78"/>
      <c r="K48" s="37">
        <f>(K7-(K9/25))*K29/1000</f>
        <v>314.786086956522</v>
      </c>
      <c r="L48" s="37">
        <f>(L7-(L9/25))*L29/1000</f>
        <v>229.2930396475767</v>
      </c>
      <c r="M48" s="37"/>
      <c r="N48" s="37">
        <v>0</v>
      </c>
      <c r="O48" s="37">
        <v>0</v>
      </c>
      <c r="P48" s="37"/>
      <c r="Q48" s="37">
        <f>(Q8-(Q10/25))*Q29/1000</f>
        <v>874.875</v>
      </c>
      <c r="R48" s="37">
        <f>(R8-(R10/25))*R29/1000</f>
        <v>1412.5575483870969</v>
      </c>
      <c r="S48" s="37"/>
      <c r="T48" s="37">
        <f>(T7-(T9/25))*T29/1000</f>
        <v>160.18472727272737</v>
      </c>
      <c r="U48" s="37">
        <v>0</v>
      </c>
      <c r="V48" s="37"/>
      <c r="W48" s="37" t="e">
        <f>(W7-(W9/25))*W29/1000</f>
        <v>#DIV/0!</v>
      </c>
      <c r="X48" s="37" t="e">
        <f>(X7-(X9/25))*X29/1000</f>
        <v>#DIV/0!</v>
      </c>
      <c r="Y48" s="37"/>
      <c r="Z48" s="37">
        <v>0</v>
      </c>
      <c r="AA48" s="37">
        <v>0</v>
      </c>
      <c r="AB48" s="13"/>
    </row>
    <row r="49" spans="1:28" ht="12.75" customHeight="1">
      <c r="A49" s="77"/>
      <c r="B49" s="86" t="s">
        <v>147</v>
      </c>
      <c r="C49" s="86"/>
      <c r="D49" s="74"/>
      <c r="E49" s="74"/>
      <c r="F49" s="78"/>
      <c r="G49" s="78"/>
      <c r="H49" s="78"/>
      <c r="I49" s="78"/>
      <c r="J49" s="78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13"/>
    </row>
    <row r="50" spans="1:28" ht="30" customHeight="1">
      <c r="A50" s="77"/>
      <c r="B50" s="154" t="s">
        <v>148</v>
      </c>
      <c r="C50" s="154"/>
      <c r="D50" s="74"/>
      <c r="E50" s="74"/>
      <c r="F50" s="78"/>
      <c r="G50" s="78"/>
      <c r="H50" s="78"/>
      <c r="I50" s="78"/>
      <c r="J50" s="78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13"/>
    </row>
    <row r="51" spans="1:28" ht="15.75" customHeight="1">
      <c r="A51" s="77"/>
      <c r="B51" s="155" t="s">
        <v>149</v>
      </c>
      <c r="C51" s="155"/>
      <c r="D51" s="74"/>
      <c r="E51" s="74"/>
      <c r="F51" s="78"/>
      <c r="G51" s="78"/>
      <c r="H51" s="78"/>
      <c r="I51" s="78"/>
      <c r="J51" s="7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13"/>
    </row>
    <row r="52" spans="1:28" ht="30" customHeight="1">
      <c r="A52" s="77"/>
      <c r="B52" s="154" t="s">
        <v>150</v>
      </c>
      <c r="C52" s="154"/>
      <c r="D52" s="74"/>
      <c r="E52" s="74"/>
      <c r="F52" s="78"/>
      <c r="G52" s="78"/>
      <c r="H52" s="78"/>
      <c r="I52" s="78"/>
      <c r="J52" s="78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13"/>
    </row>
    <row r="53" spans="1:28" ht="30" customHeight="1">
      <c r="A53" s="77"/>
      <c r="B53" s="154" t="s">
        <v>151</v>
      </c>
      <c r="C53" s="154"/>
      <c r="D53" s="74"/>
      <c r="E53" s="74"/>
      <c r="F53" s="78"/>
      <c r="G53" s="78"/>
      <c r="H53" s="78"/>
      <c r="I53" s="78"/>
      <c r="J53" s="78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13"/>
    </row>
    <row r="54" spans="1:28" ht="15.75">
      <c r="A54" s="77"/>
      <c r="B54" s="154" t="s">
        <v>152</v>
      </c>
      <c r="C54" s="154"/>
      <c r="D54" s="74"/>
      <c r="E54" s="74"/>
      <c r="F54" s="78"/>
      <c r="G54" s="78"/>
      <c r="H54" s="78"/>
      <c r="I54" s="78"/>
      <c r="J54" s="78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13"/>
    </row>
    <row r="55" spans="1:28" ht="31.5" customHeight="1">
      <c r="A55" s="77" t="s">
        <v>50</v>
      </c>
      <c r="B55" s="78" t="s">
        <v>145</v>
      </c>
      <c r="C55" s="78"/>
      <c r="D55" s="74" t="s">
        <v>4</v>
      </c>
      <c r="E55" s="74"/>
      <c r="F55" s="85" t="e">
        <f>K56+N56+Q56+T56+W56+Z56</f>
        <v>#DIV/0!</v>
      </c>
      <c r="G55" s="78"/>
      <c r="H55" s="85" t="e">
        <f>L56+O56+R56+U56+X56+AA56</f>
        <v>#DIV/0!</v>
      </c>
      <c r="I55" s="78"/>
      <c r="J55" s="78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13"/>
    </row>
    <row r="56" spans="1:28" ht="15.75">
      <c r="A56" s="77"/>
      <c r="B56" s="79" t="s">
        <v>153</v>
      </c>
      <c r="C56" s="79"/>
      <c r="D56" s="74"/>
      <c r="E56" s="74"/>
      <c r="F56" s="78"/>
      <c r="G56" s="78"/>
      <c r="H56" s="78"/>
      <c r="I56" s="78"/>
      <c r="J56" s="78"/>
      <c r="K56" s="37">
        <f>((K7-K8)-((K9-K10)/12))*K29/1000</f>
        <v>0</v>
      </c>
      <c r="L56" s="37">
        <v>0</v>
      </c>
      <c r="M56" s="37"/>
      <c r="N56" s="37">
        <f aca="true" t="shared" si="19" ref="N56:AA56">((N7-N8)-((N9-N10)/12))*N29/1000</f>
        <v>1898.6442708333338</v>
      </c>
      <c r="O56" s="37">
        <f>((O7-O8)-((O9-O10)/12))*O29/1000</f>
        <v>562.838541666666</v>
      </c>
      <c r="P56" s="37"/>
      <c r="Q56" s="37">
        <f>((Q7-Q8)-((Q9-Q10)/12))*Q29/1000</f>
        <v>1044.9895833333335</v>
      </c>
      <c r="R56" s="37">
        <f t="shared" si="19"/>
        <v>624.2362903225807</v>
      </c>
      <c r="S56" s="37"/>
      <c r="T56" s="37">
        <f t="shared" si="19"/>
        <v>0</v>
      </c>
      <c r="U56" s="37">
        <f t="shared" si="19"/>
        <v>0</v>
      </c>
      <c r="V56" s="37"/>
      <c r="W56" s="37" t="e">
        <f t="shared" si="19"/>
        <v>#DIV/0!</v>
      </c>
      <c r="X56" s="37" t="e">
        <f t="shared" si="19"/>
        <v>#DIV/0!</v>
      </c>
      <c r="Y56" s="37"/>
      <c r="Z56" s="37">
        <f t="shared" si="19"/>
        <v>0</v>
      </c>
      <c r="AA56" s="37">
        <f t="shared" si="19"/>
        <v>0</v>
      </c>
      <c r="AB56" s="13"/>
    </row>
    <row r="57" spans="1:28" ht="12.75" customHeight="1">
      <c r="A57" s="77"/>
      <c r="B57" s="86" t="s">
        <v>147</v>
      </c>
      <c r="C57" s="86"/>
      <c r="D57" s="74"/>
      <c r="E57" s="74"/>
      <c r="F57" s="78"/>
      <c r="G57" s="78"/>
      <c r="H57" s="78"/>
      <c r="I57" s="78"/>
      <c r="J57" s="78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13"/>
    </row>
    <row r="58" spans="1:28" ht="30.75" customHeight="1">
      <c r="A58" s="77"/>
      <c r="B58" s="154" t="s">
        <v>154</v>
      </c>
      <c r="C58" s="154"/>
      <c r="D58" s="74"/>
      <c r="E58" s="74"/>
      <c r="F58" s="78"/>
      <c r="G58" s="78"/>
      <c r="H58" s="78"/>
      <c r="I58" s="78"/>
      <c r="J58" s="78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13"/>
    </row>
    <row r="59" spans="1:28" ht="15.75">
      <c r="A59" s="77"/>
      <c r="B59" s="154" t="s">
        <v>155</v>
      </c>
      <c r="C59" s="154"/>
      <c r="D59" s="74"/>
      <c r="E59" s="74"/>
      <c r="F59" s="78"/>
      <c r="G59" s="78"/>
      <c r="H59" s="78"/>
      <c r="I59" s="78"/>
      <c r="J59" s="78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13"/>
    </row>
    <row r="60" spans="1:28" ht="15.75">
      <c r="A60" s="8" t="s">
        <v>22</v>
      </c>
      <c r="B60" s="78" t="s">
        <v>156</v>
      </c>
      <c r="C60" s="78"/>
      <c r="D60" s="74" t="s">
        <v>4</v>
      </c>
      <c r="E60" s="74"/>
      <c r="F60" s="143" t="e">
        <f aca="true" t="shared" si="20" ref="F60:F66">K60+N60+Q60+T60+W60+Z60</f>
        <v>#DIV/0!</v>
      </c>
      <c r="G60" s="144"/>
      <c r="H60" s="143" t="e">
        <f aca="true" t="shared" si="21" ref="H60:H66">L60+O60+R60+U60+X60+AA60</f>
        <v>#DIV/0!</v>
      </c>
      <c r="I60" s="144"/>
      <c r="J60" s="9"/>
      <c r="K60" s="37">
        <f aca="true" t="shared" si="22" ref="K60:AA60">K30+K46</f>
        <v>5353.107207516521</v>
      </c>
      <c r="L60" s="37">
        <f t="shared" si="22"/>
        <v>6174.129629087578</v>
      </c>
      <c r="M60" s="37"/>
      <c r="N60" s="37">
        <f t="shared" si="22"/>
        <v>13842.063968049333</v>
      </c>
      <c r="O60" s="37">
        <f t="shared" si="22"/>
        <v>17196.202282002665</v>
      </c>
      <c r="P60" s="37"/>
      <c r="Q60" s="37">
        <f t="shared" si="22"/>
        <v>5202.513855333333</v>
      </c>
      <c r="R60" s="37">
        <f t="shared" si="22"/>
        <v>6606.580082837679</v>
      </c>
      <c r="S60" s="37"/>
      <c r="T60" s="37">
        <f t="shared" si="22"/>
        <v>5042.905588136728</v>
      </c>
      <c r="U60" s="37">
        <f t="shared" si="22"/>
        <v>5179.196791439999</v>
      </c>
      <c r="V60" s="37"/>
      <c r="W60" s="37" t="e">
        <f t="shared" si="22"/>
        <v>#DIV/0!</v>
      </c>
      <c r="X60" s="37" t="e">
        <f t="shared" si="22"/>
        <v>#DIV/0!</v>
      </c>
      <c r="Y60" s="37"/>
      <c r="Z60" s="37">
        <f t="shared" si="22"/>
        <v>0</v>
      </c>
      <c r="AA60" s="37">
        <f t="shared" si="22"/>
        <v>0</v>
      </c>
      <c r="AB60" s="13"/>
    </row>
    <row r="61" spans="1:28" ht="15.75">
      <c r="A61" s="8" t="s">
        <v>23</v>
      </c>
      <c r="B61" s="78" t="s">
        <v>157</v>
      </c>
      <c r="C61" s="78"/>
      <c r="D61" s="74" t="s">
        <v>17</v>
      </c>
      <c r="E61" s="74"/>
      <c r="F61" s="115">
        <f t="shared" si="20"/>
        <v>400</v>
      </c>
      <c r="G61" s="116"/>
      <c r="H61" s="115">
        <f t="shared" si="21"/>
        <v>396</v>
      </c>
      <c r="I61" s="116"/>
      <c r="J61" s="9"/>
      <c r="K61" s="32">
        <v>100</v>
      </c>
      <c r="L61" s="32">
        <v>100</v>
      </c>
      <c r="M61" s="32">
        <v>5</v>
      </c>
      <c r="N61" s="32"/>
      <c r="O61" s="32"/>
      <c r="P61" s="32"/>
      <c r="Q61" s="32">
        <v>100</v>
      </c>
      <c r="R61" s="32">
        <v>100</v>
      </c>
      <c r="S61" s="32">
        <v>5</v>
      </c>
      <c r="T61" s="32">
        <v>100</v>
      </c>
      <c r="U61" s="32">
        <v>98</v>
      </c>
      <c r="V61" s="32">
        <v>0</v>
      </c>
      <c r="W61" s="32"/>
      <c r="X61" s="32"/>
      <c r="Y61" s="32"/>
      <c r="Z61" s="32">
        <v>100</v>
      </c>
      <c r="AA61" s="32">
        <v>98</v>
      </c>
      <c r="AB61" s="13">
        <v>0</v>
      </c>
    </row>
    <row r="62" spans="1:28" ht="15.75">
      <c r="A62" s="16" t="s">
        <v>166</v>
      </c>
      <c r="B62" s="110" t="s">
        <v>158</v>
      </c>
      <c r="C62" s="110"/>
      <c r="D62" s="74" t="s">
        <v>17</v>
      </c>
      <c r="E62" s="74"/>
      <c r="F62" s="115">
        <f t="shared" si="20"/>
        <v>400</v>
      </c>
      <c r="G62" s="116"/>
      <c r="H62" s="115">
        <f t="shared" si="21"/>
        <v>400</v>
      </c>
      <c r="I62" s="116"/>
      <c r="J62" s="9"/>
      <c r="K62" s="32">
        <v>100</v>
      </c>
      <c r="L62" s="32">
        <v>100</v>
      </c>
      <c r="M62" s="32"/>
      <c r="N62" s="32"/>
      <c r="O62" s="32"/>
      <c r="P62" s="32"/>
      <c r="Q62" s="32">
        <v>100</v>
      </c>
      <c r="R62" s="32">
        <v>100</v>
      </c>
      <c r="S62" s="32"/>
      <c r="T62" s="32">
        <v>100</v>
      </c>
      <c r="U62" s="32">
        <v>100</v>
      </c>
      <c r="V62" s="32"/>
      <c r="W62" s="32"/>
      <c r="X62" s="32"/>
      <c r="Y62" s="32"/>
      <c r="Z62" s="32">
        <v>100</v>
      </c>
      <c r="AA62" s="32">
        <v>100</v>
      </c>
      <c r="AB62" s="13"/>
    </row>
    <row r="63" spans="1:28" ht="15.75">
      <c r="A63" s="16" t="s">
        <v>167</v>
      </c>
      <c r="B63" s="110" t="s">
        <v>159</v>
      </c>
      <c r="C63" s="110"/>
      <c r="D63" s="74" t="s">
        <v>17</v>
      </c>
      <c r="E63" s="74"/>
      <c r="F63" s="115">
        <f t="shared" si="20"/>
        <v>400</v>
      </c>
      <c r="G63" s="116"/>
      <c r="H63" s="115">
        <f t="shared" si="21"/>
        <v>396</v>
      </c>
      <c r="I63" s="116"/>
      <c r="J63" s="9"/>
      <c r="K63" s="32">
        <v>100</v>
      </c>
      <c r="L63" s="32">
        <v>100</v>
      </c>
      <c r="M63" s="32"/>
      <c r="N63" s="32"/>
      <c r="O63" s="32"/>
      <c r="P63" s="32"/>
      <c r="Q63" s="32">
        <v>100</v>
      </c>
      <c r="R63" s="32">
        <v>100</v>
      </c>
      <c r="S63" s="32"/>
      <c r="T63" s="32">
        <v>100</v>
      </c>
      <c r="U63" s="32">
        <v>98</v>
      </c>
      <c r="V63" s="32"/>
      <c r="W63" s="32"/>
      <c r="X63" s="32"/>
      <c r="Y63" s="32"/>
      <c r="Z63" s="32">
        <v>100</v>
      </c>
      <c r="AA63" s="32">
        <v>98</v>
      </c>
      <c r="AB63" s="13"/>
    </row>
    <row r="64" spans="1:28" ht="15.75">
      <c r="A64" s="8" t="s">
        <v>160</v>
      </c>
      <c r="B64" s="78" t="s">
        <v>161</v>
      </c>
      <c r="C64" s="78"/>
      <c r="D64" s="93" t="s">
        <v>10</v>
      </c>
      <c r="E64" s="94"/>
      <c r="F64" s="115">
        <f t="shared" si="20"/>
        <v>188</v>
      </c>
      <c r="G64" s="116"/>
      <c r="H64" s="115">
        <f t="shared" si="21"/>
        <v>187</v>
      </c>
      <c r="I64" s="116"/>
      <c r="J64" s="9"/>
      <c r="K64" s="32">
        <v>47</v>
      </c>
      <c r="L64" s="32">
        <v>45</v>
      </c>
      <c r="M64" s="32"/>
      <c r="N64" s="32">
        <v>17</v>
      </c>
      <c r="O64" s="32">
        <v>35</v>
      </c>
      <c r="P64" s="32"/>
      <c r="Q64" s="32">
        <v>48</v>
      </c>
      <c r="R64" s="32">
        <v>18</v>
      </c>
      <c r="S64" s="32"/>
      <c r="T64" s="32">
        <v>45</v>
      </c>
      <c r="U64" s="32">
        <v>48</v>
      </c>
      <c r="V64" s="32"/>
      <c r="W64" s="32"/>
      <c r="X64" s="32"/>
      <c r="Y64" s="32"/>
      <c r="Z64" s="32">
        <v>31</v>
      </c>
      <c r="AA64" s="32">
        <v>41</v>
      </c>
      <c r="AB64" s="13"/>
    </row>
    <row r="65" spans="1:28" ht="31.5" customHeight="1">
      <c r="A65" s="8" t="s">
        <v>162</v>
      </c>
      <c r="B65" s="78" t="s">
        <v>163</v>
      </c>
      <c r="C65" s="78"/>
      <c r="D65" s="74" t="s">
        <v>17</v>
      </c>
      <c r="E65" s="74"/>
      <c r="F65" s="115">
        <f t="shared" si="20"/>
        <v>0.08</v>
      </c>
      <c r="G65" s="116"/>
      <c r="H65" s="115">
        <f t="shared" si="21"/>
        <v>4.01</v>
      </c>
      <c r="I65" s="116"/>
      <c r="J65" s="9"/>
      <c r="K65" s="32">
        <v>0</v>
      </c>
      <c r="L65" s="32">
        <v>0</v>
      </c>
      <c r="M65" s="32">
        <v>3</v>
      </c>
      <c r="N65" s="32">
        <v>0</v>
      </c>
      <c r="O65" s="32">
        <v>0</v>
      </c>
      <c r="P65" s="32">
        <v>3</v>
      </c>
      <c r="Q65" s="32">
        <v>0.08</v>
      </c>
      <c r="R65" s="32">
        <v>0.01</v>
      </c>
      <c r="S65" s="32"/>
      <c r="T65" s="32">
        <v>0</v>
      </c>
      <c r="U65" s="32">
        <v>2</v>
      </c>
      <c r="V65" s="32">
        <v>0</v>
      </c>
      <c r="W65" s="32"/>
      <c r="X65" s="32"/>
      <c r="Y65" s="32"/>
      <c r="Z65" s="32">
        <v>0</v>
      </c>
      <c r="AA65" s="32">
        <v>2</v>
      </c>
      <c r="AB65" s="13">
        <v>0</v>
      </c>
    </row>
    <row r="66" spans="1:28" ht="61.5" customHeight="1">
      <c r="A66" s="8" t="s">
        <v>164</v>
      </c>
      <c r="B66" s="78" t="s">
        <v>165</v>
      </c>
      <c r="C66" s="78"/>
      <c r="D66" s="74" t="s">
        <v>17</v>
      </c>
      <c r="E66" s="74"/>
      <c r="F66" s="115">
        <f t="shared" si="20"/>
        <v>351.6</v>
      </c>
      <c r="G66" s="116"/>
      <c r="H66" s="115">
        <f t="shared" si="21"/>
        <v>335.8</v>
      </c>
      <c r="I66" s="116"/>
      <c r="J66" s="9"/>
      <c r="K66" s="32">
        <v>60</v>
      </c>
      <c r="L66" s="32">
        <v>63</v>
      </c>
      <c r="M66" s="32"/>
      <c r="N66" s="32">
        <v>69.9</v>
      </c>
      <c r="O66" s="32">
        <v>52.9</v>
      </c>
      <c r="P66" s="32"/>
      <c r="Q66" s="32">
        <v>85</v>
      </c>
      <c r="R66" s="32">
        <v>85</v>
      </c>
      <c r="S66" s="32"/>
      <c r="T66" s="32">
        <v>65.7</v>
      </c>
      <c r="U66" s="32">
        <v>63.9</v>
      </c>
      <c r="V66" s="32"/>
      <c r="W66" s="32"/>
      <c r="X66" s="32"/>
      <c r="Y66" s="32"/>
      <c r="Z66" s="32">
        <v>71</v>
      </c>
      <c r="AA66" s="32">
        <v>71</v>
      </c>
      <c r="AB66" s="13"/>
    </row>
    <row r="67" spans="1:28" ht="17.2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M67" s="35">
        <f>SUM(M7:M66)</f>
        <v>8</v>
      </c>
      <c r="P67" s="35">
        <f>SUM(P7:P66)</f>
        <v>5</v>
      </c>
      <c r="S67" s="35">
        <f>SUM(S7:S66)</f>
        <v>7</v>
      </c>
      <c r="V67" s="35">
        <f>SUM(V7:V66)</f>
        <v>8</v>
      </c>
      <c r="Y67" s="35">
        <f>SUM(Y7:Y66)</f>
        <v>0</v>
      </c>
      <c r="AB67" s="35">
        <f>SUM(AB7:AB66)</f>
        <v>8</v>
      </c>
    </row>
    <row r="68" spans="1:27" ht="54.75" customHeight="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</row>
    <row r="69" spans="1:10" ht="15.75">
      <c r="A69" s="76"/>
      <c r="B69" s="76"/>
      <c r="C69" s="153"/>
      <c r="D69" s="153"/>
      <c r="E69" s="76"/>
      <c r="F69" s="76"/>
      <c r="G69" s="76"/>
      <c r="H69" s="76"/>
      <c r="I69" s="76"/>
      <c r="J69" s="76"/>
    </row>
    <row r="70" spans="1:10" ht="15.75" customHeight="1">
      <c r="A70" s="152"/>
      <c r="B70" s="152"/>
      <c r="C70" s="152"/>
      <c r="D70" s="152"/>
      <c r="E70" s="152"/>
      <c r="F70" s="152"/>
      <c r="G70" s="152"/>
      <c r="H70" s="152"/>
      <c r="I70" s="76"/>
      <c r="J70" s="76"/>
    </row>
    <row r="71" spans="1:10" ht="15.75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 ht="7.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</row>
  </sheetData>
  <sheetProtection sheet="1"/>
  <mergeCells count="253">
    <mergeCell ref="R24:R25"/>
    <mergeCell ref="F29:G29"/>
    <mergeCell ref="H28:I28"/>
    <mergeCell ref="H29:I29"/>
    <mergeCell ref="T24:T25"/>
    <mergeCell ref="U24:U25"/>
    <mergeCell ref="J24:J25"/>
    <mergeCell ref="N5:N6"/>
    <mergeCell ref="W24:W25"/>
    <mergeCell ref="X24:X25"/>
    <mergeCell ref="Z24:Z25"/>
    <mergeCell ref="AA24:AA25"/>
    <mergeCell ref="K24:K25"/>
    <mergeCell ref="L24:L25"/>
    <mergeCell ref="N24:N25"/>
    <mergeCell ref="O24:O25"/>
    <mergeCell ref="Q24:Q25"/>
    <mergeCell ref="R5:R6"/>
    <mergeCell ref="T5:T6"/>
    <mergeCell ref="M5:M6"/>
    <mergeCell ref="A1:AA1"/>
    <mergeCell ref="W5:W6"/>
    <mergeCell ref="X5:X6"/>
    <mergeCell ref="Z5:Z6"/>
    <mergeCell ref="AA5:AA6"/>
    <mergeCell ref="K5:K6"/>
    <mergeCell ref="L5:L6"/>
    <mergeCell ref="A2:J2"/>
    <mergeCell ref="A3:J3"/>
    <mergeCell ref="J4:J6"/>
    <mergeCell ref="H4:I6"/>
    <mergeCell ref="F4:G6"/>
    <mergeCell ref="D4:E6"/>
    <mergeCell ref="A4:A6"/>
    <mergeCell ref="B4:C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D24:E25"/>
    <mergeCell ref="F24:G25"/>
    <mergeCell ref="H24:I25"/>
    <mergeCell ref="B24:C25"/>
    <mergeCell ref="B26:C26"/>
    <mergeCell ref="D26:E26"/>
    <mergeCell ref="F26:G26"/>
    <mergeCell ref="H26:I26"/>
    <mergeCell ref="B27:C27"/>
    <mergeCell ref="D27:E27"/>
    <mergeCell ref="F27:G27"/>
    <mergeCell ref="H27:I27"/>
    <mergeCell ref="A28:A29"/>
    <mergeCell ref="B28:C28"/>
    <mergeCell ref="B29:C29"/>
    <mergeCell ref="D28:E29"/>
    <mergeCell ref="J28:J29"/>
    <mergeCell ref="B30:C30"/>
    <mergeCell ref="D30:E30"/>
    <mergeCell ref="F30:G30"/>
    <mergeCell ref="H30:I30"/>
    <mergeCell ref="F28:G28"/>
    <mergeCell ref="A31:A37"/>
    <mergeCell ref="B31:C31"/>
    <mergeCell ref="B32:C32"/>
    <mergeCell ref="B33:C33"/>
    <mergeCell ref="B34:C34"/>
    <mergeCell ref="B35:C35"/>
    <mergeCell ref="B36:C36"/>
    <mergeCell ref="B37:C37"/>
    <mergeCell ref="D31:E33"/>
    <mergeCell ref="F31:G33"/>
    <mergeCell ref="H31:I33"/>
    <mergeCell ref="J31:J33"/>
    <mergeCell ref="D34:E37"/>
    <mergeCell ref="F34:G37"/>
    <mergeCell ref="H34:I37"/>
    <mergeCell ref="J34:J37"/>
    <mergeCell ref="A38:A45"/>
    <mergeCell ref="B38:C38"/>
    <mergeCell ref="B39:C39"/>
    <mergeCell ref="B40:C40"/>
    <mergeCell ref="B41:C41"/>
    <mergeCell ref="B42:C42"/>
    <mergeCell ref="B43:C43"/>
    <mergeCell ref="B44:C44"/>
    <mergeCell ref="B45:C45"/>
    <mergeCell ref="D38:E40"/>
    <mergeCell ref="F38:G40"/>
    <mergeCell ref="H38:I40"/>
    <mergeCell ref="J38:J40"/>
    <mergeCell ref="D41:E45"/>
    <mergeCell ref="F41:G45"/>
    <mergeCell ref="H41:I45"/>
    <mergeCell ref="J41:J45"/>
    <mergeCell ref="B46:C46"/>
    <mergeCell ref="D46:E46"/>
    <mergeCell ref="F46:G46"/>
    <mergeCell ref="H46:I46"/>
    <mergeCell ref="A47:A54"/>
    <mergeCell ref="B47:C47"/>
    <mergeCell ref="B48:C48"/>
    <mergeCell ref="D47:E48"/>
    <mergeCell ref="B50:C50"/>
    <mergeCell ref="B51:C51"/>
    <mergeCell ref="B52:C52"/>
    <mergeCell ref="B53:C53"/>
    <mergeCell ref="B54:C54"/>
    <mergeCell ref="F47:G48"/>
    <mergeCell ref="H47:I48"/>
    <mergeCell ref="J47:J48"/>
    <mergeCell ref="B49:C49"/>
    <mergeCell ref="D49:E54"/>
    <mergeCell ref="F49:G54"/>
    <mergeCell ref="H49:I54"/>
    <mergeCell ref="J49:J54"/>
    <mergeCell ref="A55:A59"/>
    <mergeCell ref="B55:C55"/>
    <mergeCell ref="B56:C56"/>
    <mergeCell ref="D55:E56"/>
    <mergeCell ref="B58:C58"/>
    <mergeCell ref="B59:C59"/>
    <mergeCell ref="F55:G56"/>
    <mergeCell ref="H55:I56"/>
    <mergeCell ref="J55:J56"/>
    <mergeCell ref="B57:C57"/>
    <mergeCell ref="D57:E59"/>
    <mergeCell ref="F57:G59"/>
    <mergeCell ref="H57:I59"/>
    <mergeCell ref="J57:J59"/>
    <mergeCell ref="B60:C60"/>
    <mergeCell ref="D60:E60"/>
    <mergeCell ref="F60:G60"/>
    <mergeCell ref="H60:I60"/>
    <mergeCell ref="B61:C61"/>
    <mergeCell ref="D61:E61"/>
    <mergeCell ref="F61:G61"/>
    <mergeCell ref="H61:I61"/>
    <mergeCell ref="B62:C62"/>
    <mergeCell ref="D62:E62"/>
    <mergeCell ref="F62:G62"/>
    <mergeCell ref="H62:I62"/>
    <mergeCell ref="B63:C63"/>
    <mergeCell ref="D63:E63"/>
    <mergeCell ref="F63:G63"/>
    <mergeCell ref="H63:I63"/>
    <mergeCell ref="B64:C64"/>
    <mergeCell ref="D64:E64"/>
    <mergeCell ref="F64:G64"/>
    <mergeCell ref="H64:I64"/>
    <mergeCell ref="A68:AA68"/>
    <mergeCell ref="B65:C65"/>
    <mergeCell ref="D65:E65"/>
    <mergeCell ref="F65:G65"/>
    <mergeCell ref="H65:I65"/>
    <mergeCell ref="B66:C66"/>
    <mergeCell ref="D66:E66"/>
    <mergeCell ref="F66:G66"/>
    <mergeCell ref="H66:I66"/>
    <mergeCell ref="A70:H70"/>
    <mergeCell ref="I70:J70"/>
    <mergeCell ref="A71:H72"/>
    <mergeCell ref="I71:J72"/>
    <mergeCell ref="A67:J67"/>
    <mergeCell ref="A69:B69"/>
    <mergeCell ref="C69:D69"/>
    <mergeCell ref="E69:F69"/>
    <mergeCell ref="G69:H69"/>
    <mergeCell ref="I69:J69"/>
    <mergeCell ref="K4:M4"/>
    <mergeCell ref="P5:P6"/>
    <mergeCell ref="N4:P4"/>
    <mergeCell ref="S5:S6"/>
    <mergeCell ref="V5:V6"/>
    <mergeCell ref="Q4:S4"/>
    <mergeCell ref="T4:V4"/>
    <mergeCell ref="U5:U6"/>
    <mergeCell ref="O5:O6"/>
    <mergeCell ref="Q5:Q6"/>
    <mergeCell ref="Y5:Y6"/>
    <mergeCell ref="W4:Y4"/>
    <mergeCell ref="AB5:AB6"/>
    <mergeCell ref="Z4:AB4"/>
    <mergeCell ref="M24:M25"/>
    <mergeCell ref="P24:P25"/>
    <mergeCell ref="S24:S25"/>
    <mergeCell ref="V24:V25"/>
    <mergeCell ref="Y24:Y25"/>
    <mergeCell ref="AB24:AB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xSplit="7" ySplit="4" topLeftCell="H1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23" sqref="A23:F23"/>
    </sheetView>
  </sheetViews>
  <sheetFormatPr defaultColWidth="9.00390625" defaultRowHeight="12.75"/>
  <cols>
    <col min="1" max="1" width="6.375" style="0" customWidth="1"/>
    <col min="2" max="2" width="38.25390625" style="0" customWidth="1"/>
    <col min="3" max="3" width="10.375" style="0" customWidth="1"/>
    <col min="4" max="4" width="13.25390625" style="0" customWidth="1"/>
    <col min="5" max="5" width="13.00390625" style="0" customWidth="1"/>
    <col min="6" max="7" width="11.25390625" style="0" customWidth="1"/>
    <col min="8" max="15" width="9.125" style="54" customWidth="1"/>
    <col min="16" max="16" width="9.125" style="1" customWidth="1"/>
  </cols>
  <sheetData>
    <row r="1" spans="1:7" ht="49.5" customHeight="1">
      <c r="A1" s="95" t="s">
        <v>301</v>
      </c>
      <c r="B1" s="95"/>
      <c r="C1" s="95"/>
      <c r="D1" s="95"/>
      <c r="E1" s="95"/>
      <c r="F1" s="95"/>
      <c r="G1" s="6"/>
    </row>
    <row r="2" spans="1:7" ht="15.75">
      <c r="A2" s="3"/>
      <c r="B2" s="2"/>
      <c r="C2" s="3"/>
      <c r="D2" s="2"/>
      <c r="E2" s="11"/>
      <c r="F2" s="11"/>
      <c r="G2" s="11"/>
    </row>
    <row r="3" spans="1:16" ht="16.5" customHeight="1">
      <c r="A3" s="83" t="s">
        <v>0</v>
      </c>
      <c r="B3" s="83" t="s">
        <v>53</v>
      </c>
      <c r="C3" s="83" t="s">
        <v>2</v>
      </c>
      <c r="D3" s="83" t="s">
        <v>54</v>
      </c>
      <c r="E3" s="83" t="s">
        <v>24</v>
      </c>
      <c r="F3" s="83" t="s">
        <v>292</v>
      </c>
      <c r="G3" s="83" t="s">
        <v>293</v>
      </c>
      <c r="H3" s="178" t="s">
        <v>261</v>
      </c>
      <c r="I3" s="179"/>
      <c r="J3" s="180"/>
      <c r="K3" s="103" t="s">
        <v>262</v>
      </c>
      <c r="L3" s="166"/>
      <c r="M3" s="105"/>
      <c r="N3" s="106" t="s">
        <v>263</v>
      </c>
      <c r="O3" s="165"/>
      <c r="P3" s="107"/>
    </row>
    <row r="4" spans="1:16" ht="47.25">
      <c r="A4" s="75"/>
      <c r="B4" s="75"/>
      <c r="C4" s="75"/>
      <c r="D4" s="75"/>
      <c r="E4" s="75"/>
      <c r="F4" s="75"/>
      <c r="G4" s="75"/>
      <c r="H4" s="55" t="s">
        <v>259</v>
      </c>
      <c r="I4" s="55" t="s">
        <v>260</v>
      </c>
      <c r="J4" s="55" t="s">
        <v>297</v>
      </c>
      <c r="K4" s="55" t="s">
        <v>259</v>
      </c>
      <c r="L4" s="55" t="s">
        <v>260</v>
      </c>
      <c r="M4" s="55" t="s">
        <v>297</v>
      </c>
      <c r="N4" s="73" t="s">
        <v>259</v>
      </c>
      <c r="O4" s="73" t="s">
        <v>260</v>
      </c>
      <c r="P4" s="9" t="s">
        <v>297</v>
      </c>
    </row>
    <row r="5" spans="1:16" ht="31.5">
      <c r="A5" s="8" t="s">
        <v>3</v>
      </c>
      <c r="B5" s="10" t="s">
        <v>20</v>
      </c>
      <c r="C5" s="7" t="s">
        <v>168</v>
      </c>
      <c r="D5" s="7">
        <v>34448</v>
      </c>
      <c r="E5" s="7">
        <v>34332</v>
      </c>
      <c r="F5" s="27">
        <f>E5/D5*100</f>
        <v>99.66326056665118</v>
      </c>
      <c r="G5" s="28">
        <f>E5-D5</f>
        <v>-116</v>
      </c>
      <c r="H5" s="36"/>
      <c r="I5" s="36"/>
      <c r="J5" s="36"/>
      <c r="K5" s="36">
        <v>34448</v>
      </c>
      <c r="L5" s="36">
        <v>34332</v>
      </c>
      <c r="M5" s="36"/>
      <c r="N5" s="36">
        <v>34332</v>
      </c>
      <c r="O5" s="36">
        <v>34332</v>
      </c>
      <c r="P5" s="9"/>
    </row>
    <row r="6" spans="1:16" ht="94.5">
      <c r="A6" s="8" t="s">
        <v>5</v>
      </c>
      <c r="B6" s="9" t="s">
        <v>169</v>
      </c>
      <c r="C6" s="7" t="s">
        <v>10</v>
      </c>
      <c r="D6" s="9">
        <f>H6+K6+N6</f>
        <v>27598</v>
      </c>
      <c r="E6" s="9">
        <f>I6+L6+O6</f>
        <v>33642</v>
      </c>
      <c r="F6" s="27">
        <f aca="true" t="shared" si="0" ref="F6:F20">E6/D6*100</f>
        <v>121.90013769113703</v>
      </c>
      <c r="G6" s="28">
        <f aca="true" t="shared" si="1" ref="G6:G20">E6-D6</f>
        <v>6044</v>
      </c>
      <c r="H6" s="32"/>
      <c r="I6" s="32"/>
      <c r="J6" s="32"/>
      <c r="K6" s="32">
        <v>26180</v>
      </c>
      <c r="L6" s="32">
        <v>32002</v>
      </c>
      <c r="M6" s="32"/>
      <c r="N6" s="32">
        <v>1418</v>
      </c>
      <c r="O6" s="32">
        <v>1640</v>
      </c>
      <c r="P6" s="13"/>
    </row>
    <row r="7" spans="1:16" ht="78.75">
      <c r="A7" s="8" t="s">
        <v>6</v>
      </c>
      <c r="B7" s="9" t="s">
        <v>176</v>
      </c>
      <c r="C7" s="18" t="s">
        <v>17</v>
      </c>
      <c r="D7" s="29">
        <f>D6/D5*100</f>
        <v>80.11495587552253</v>
      </c>
      <c r="E7" s="29">
        <f>E6/E5*100</f>
        <v>97.99021321216358</v>
      </c>
      <c r="F7" s="27">
        <f t="shared" si="0"/>
        <v>122.31201046208461</v>
      </c>
      <c r="G7" s="28">
        <f t="shared" si="1"/>
        <v>17.875257336641056</v>
      </c>
      <c r="H7" s="37" t="e">
        <f aca="true" t="shared" si="2" ref="H7:O7">H6/H5*100</f>
        <v>#DIV/0!</v>
      </c>
      <c r="I7" s="37" t="e">
        <f t="shared" si="2"/>
        <v>#DIV/0!</v>
      </c>
      <c r="J7" s="37"/>
      <c r="K7" s="37">
        <f t="shared" si="2"/>
        <v>75.99860659544821</v>
      </c>
      <c r="L7" s="37">
        <f t="shared" si="2"/>
        <v>93.21332867295817</v>
      </c>
      <c r="M7" s="37">
        <v>3</v>
      </c>
      <c r="N7" s="37">
        <f t="shared" si="2"/>
        <v>4.130257485727601</v>
      </c>
      <c r="O7" s="37">
        <f t="shared" si="2"/>
        <v>4.7768845392054065</v>
      </c>
      <c r="P7" s="13">
        <v>3</v>
      </c>
    </row>
    <row r="8" spans="1:16" ht="30" customHeight="1">
      <c r="A8" s="8" t="s">
        <v>7</v>
      </c>
      <c r="B8" s="9" t="s">
        <v>264</v>
      </c>
      <c r="C8" s="7" t="s">
        <v>10</v>
      </c>
      <c r="D8" s="9">
        <f aca="true" t="shared" si="3" ref="D8:E11">H8+K8+N8</f>
        <v>60</v>
      </c>
      <c r="E8" s="9">
        <f t="shared" si="3"/>
        <v>59.4</v>
      </c>
      <c r="F8" s="27">
        <f t="shared" si="0"/>
        <v>99</v>
      </c>
      <c r="G8" s="28">
        <f t="shared" si="1"/>
        <v>-0.6000000000000014</v>
      </c>
      <c r="H8" s="32"/>
      <c r="I8" s="32"/>
      <c r="J8" s="32"/>
      <c r="K8" s="32">
        <v>30</v>
      </c>
      <c r="L8" s="32">
        <v>31</v>
      </c>
      <c r="M8" s="32"/>
      <c r="N8" s="32">
        <v>30</v>
      </c>
      <c r="O8" s="32">
        <v>28.4</v>
      </c>
      <c r="P8" s="13"/>
    </row>
    <row r="9" spans="1:16" ht="15.75">
      <c r="A9" s="8" t="s">
        <v>104</v>
      </c>
      <c r="B9" s="14" t="s">
        <v>170</v>
      </c>
      <c r="C9" s="7" t="s">
        <v>10</v>
      </c>
      <c r="D9" s="9">
        <f t="shared" si="3"/>
        <v>35.5</v>
      </c>
      <c r="E9" s="9">
        <f t="shared" si="3"/>
        <v>34</v>
      </c>
      <c r="F9" s="27">
        <f t="shared" si="0"/>
        <v>95.77464788732394</v>
      </c>
      <c r="G9" s="28">
        <f t="shared" si="1"/>
        <v>-1.5</v>
      </c>
      <c r="H9" s="32"/>
      <c r="I9" s="32"/>
      <c r="J9" s="32"/>
      <c r="K9" s="32">
        <v>7</v>
      </c>
      <c r="L9" s="32">
        <v>7</v>
      </c>
      <c r="M9" s="32"/>
      <c r="N9" s="32">
        <v>28.5</v>
      </c>
      <c r="O9" s="32">
        <v>27</v>
      </c>
      <c r="P9" s="13"/>
    </row>
    <row r="10" spans="1:16" ht="15.75">
      <c r="A10" s="8" t="s">
        <v>109</v>
      </c>
      <c r="B10" s="30" t="s">
        <v>171</v>
      </c>
      <c r="C10" s="7" t="s">
        <v>10</v>
      </c>
      <c r="D10" s="9">
        <f t="shared" si="3"/>
        <v>21</v>
      </c>
      <c r="E10" s="9">
        <f t="shared" si="3"/>
        <v>21</v>
      </c>
      <c r="F10" s="27">
        <f t="shared" si="0"/>
        <v>100</v>
      </c>
      <c r="G10" s="28">
        <f t="shared" si="1"/>
        <v>0</v>
      </c>
      <c r="H10" s="32"/>
      <c r="I10" s="32"/>
      <c r="J10" s="32"/>
      <c r="K10" s="32">
        <v>3</v>
      </c>
      <c r="L10" s="32">
        <v>3</v>
      </c>
      <c r="M10" s="32"/>
      <c r="N10" s="32">
        <v>18</v>
      </c>
      <c r="O10" s="32">
        <v>18</v>
      </c>
      <c r="P10" s="13"/>
    </row>
    <row r="11" spans="1:16" ht="31.5">
      <c r="A11" s="8" t="s">
        <v>9</v>
      </c>
      <c r="B11" s="9" t="s">
        <v>32</v>
      </c>
      <c r="C11" s="7" t="s">
        <v>4</v>
      </c>
      <c r="D11" s="9">
        <f t="shared" si="3"/>
        <v>5786.5</v>
      </c>
      <c r="E11" s="9">
        <f t="shared" si="3"/>
        <v>6125.1</v>
      </c>
      <c r="F11" s="27">
        <f t="shared" si="0"/>
        <v>105.85155102393502</v>
      </c>
      <c r="G11" s="28">
        <f t="shared" si="1"/>
        <v>338.60000000000036</v>
      </c>
      <c r="H11" s="32"/>
      <c r="I11" s="32"/>
      <c r="J11" s="32"/>
      <c r="K11" s="32">
        <v>2784.7</v>
      </c>
      <c r="L11" s="32">
        <v>3030.6</v>
      </c>
      <c r="M11" s="32"/>
      <c r="N11" s="32">
        <v>3001.8</v>
      </c>
      <c r="O11" s="32">
        <v>3094.5</v>
      </c>
      <c r="P11" s="13"/>
    </row>
    <row r="12" spans="1:16" ht="47.25">
      <c r="A12" s="8" t="s">
        <v>11</v>
      </c>
      <c r="B12" s="9" t="s">
        <v>13</v>
      </c>
      <c r="C12" s="7" t="s">
        <v>14</v>
      </c>
      <c r="D12" s="25">
        <f>(D11/D8)/6*1000</f>
        <v>16073.61111111111</v>
      </c>
      <c r="E12" s="25">
        <f>(E11/E8)/6*1000</f>
        <v>17186.026936026938</v>
      </c>
      <c r="F12" s="27">
        <f t="shared" si="0"/>
        <v>106.9207586100354</v>
      </c>
      <c r="G12" s="28">
        <f t="shared" si="1"/>
        <v>1112.4158249158281</v>
      </c>
      <c r="H12" s="56" t="e">
        <f>(H11/H8)/6*1000</f>
        <v>#DIV/0!</v>
      </c>
      <c r="I12" s="56" t="e">
        <f>(I11/I8)/6*1000</f>
        <v>#DIV/0!</v>
      </c>
      <c r="J12" s="56"/>
      <c r="K12" s="56">
        <f>(K11/K8)/12*1000</f>
        <v>7735.277777777777</v>
      </c>
      <c r="L12" s="56">
        <f>(L11/L8)/12*1000</f>
        <v>8146.774193548386</v>
      </c>
      <c r="M12" s="56"/>
      <c r="N12" s="56">
        <f>(N11/N8)/12*1000</f>
        <v>8338.333333333332</v>
      </c>
      <c r="O12" s="56">
        <f>(O11/O8)/12*1000</f>
        <v>9080.105633802817</v>
      </c>
      <c r="P12" s="13"/>
    </row>
    <row r="13" spans="1:16" ht="31.5">
      <c r="A13" s="8" t="s">
        <v>12</v>
      </c>
      <c r="B13" s="9" t="s">
        <v>172</v>
      </c>
      <c r="C13" s="7" t="s">
        <v>4</v>
      </c>
      <c r="D13" s="9">
        <f>H13+K13+N13</f>
        <v>11966.400000000001</v>
      </c>
      <c r="E13" s="9">
        <f>I13+L13+O13</f>
        <v>12609.2</v>
      </c>
      <c r="F13" s="27">
        <f t="shared" si="0"/>
        <v>105.37170744751971</v>
      </c>
      <c r="G13" s="28">
        <f t="shared" si="1"/>
        <v>642.7999999999993</v>
      </c>
      <c r="H13" s="32"/>
      <c r="I13" s="32"/>
      <c r="J13" s="32"/>
      <c r="K13" s="32">
        <v>6685.1</v>
      </c>
      <c r="L13" s="32">
        <v>6964.8</v>
      </c>
      <c r="M13" s="32"/>
      <c r="N13" s="32">
        <v>5281.3</v>
      </c>
      <c r="O13" s="32">
        <v>5644.4</v>
      </c>
      <c r="P13" s="13"/>
    </row>
    <row r="14" spans="1:16" ht="47.25">
      <c r="A14" s="8" t="s">
        <v>15</v>
      </c>
      <c r="B14" s="10" t="s">
        <v>173</v>
      </c>
      <c r="C14" s="7" t="s">
        <v>4</v>
      </c>
      <c r="D14" s="26">
        <f>D13/D5</f>
        <v>0.3473757547607989</v>
      </c>
      <c r="E14" s="26">
        <f>E13/E5</f>
        <v>0.36727251543749273</v>
      </c>
      <c r="F14" s="27">
        <f t="shared" si="0"/>
        <v>105.72773442130254</v>
      </c>
      <c r="G14" s="28">
        <f t="shared" si="1"/>
        <v>0.019896760676693825</v>
      </c>
      <c r="H14" s="37" t="e">
        <f aca="true" t="shared" si="4" ref="H14:O14">H13/H5</f>
        <v>#DIV/0!</v>
      </c>
      <c r="I14" s="37" t="e">
        <f t="shared" si="4"/>
        <v>#DIV/0!</v>
      </c>
      <c r="J14" s="37"/>
      <c r="K14" s="57">
        <f t="shared" si="4"/>
        <v>0.19406351602415237</v>
      </c>
      <c r="L14" s="57">
        <f t="shared" si="4"/>
        <v>0.20286613072352325</v>
      </c>
      <c r="M14" s="57"/>
      <c r="N14" s="57">
        <f t="shared" si="4"/>
        <v>0.15383024583478971</v>
      </c>
      <c r="O14" s="57">
        <f t="shared" si="4"/>
        <v>0.16440638471396946</v>
      </c>
      <c r="P14" s="13"/>
    </row>
    <row r="15" spans="1:16" ht="31.5">
      <c r="A15" s="8" t="s">
        <v>16</v>
      </c>
      <c r="B15" s="10" t="s">
        <v>174</v>
      </c>
      <c r="C15" s="7" t="s">
        <v>4</v>
      </c>
      <c r="D15" s="9">
        <f aca="true" t="shared" si="5" ref="D15:E18">H15+K15+N15</f>
        <v>720.4</v>
      </c>
      <c r="E15" s="9">
        <f t="shared" si="5"/>
        <v>1253.7</v>
      </c>
      <c r="F15" s="27">
        <f t="shared" si="0"/>
        <v>174.0283176013326</v>
      </c>
      <c r="G15" s="28">
        <f t="shared" si="1"/>
        <v>533.3000000000001</v>
      </c>
      <c r="H15" s="32"/>
      <c r="I15" s="32"/>
      <c r="J15" s="32"/>
      <c r="K15" s="32">
        <v>595.4</v>
      </c>
      <c r="L15" s="32">
        <v>1122.3</v>
      </c>
      <c r="M15" s="32">
        <v>5</v>
      </c>
      <c r="N15" s="32">
        <v>125</v>
      </c>
      <c r="O15" s="32">
        <v>131.4</v>
      </c>
      <c r="P15" s="13">
        <v>5</v>
      </c>
    </row>
    <row r="16" spans="1:16" ht="78.75">
      <c r="A16" s="167" t="s">
        <v>18</v>
      </c>
      <c r="B16" s="10" t="s">
        <v>175</v>
      </c>
      <c r="C16" s="7" t="s">
        <v>8</v>
      </c>
      <c r="D16" s="9">
        <f t="shared" si="5"/>
        <v>0</v>
      </c>
      <c r="E16" s="9">
        <f t="shared" si="5"/>
        <v>0</v>
      </c>
      <c r="F16" s="27" t="e">
        <f t="shared" si="0"/>
        <v>#DIV/0!</v>
      </c>
      <c r="G16" s="28">
        <f t="shared" si="1"/>
        <v>0</v>
      </c>
      <c r="H16" s="32"/>
      <c r="I16" s="32"/>
      <c r="J16" s="32"/>
      <c r="K16" s="32"/>
      <c r="L16" s="32"/>
      <c r="M16" s="32">
        <v>6</v>
      </c>
      <c r="N16" s="32"/>
      <c r="O16" s="32"/>
      <c r="P16" s="13">
        <v>4</v>
      </c>
    </row>
    <row r="17" spans="1:16" ht="15.75">
      <c r="A17" s="168"/>
      <c r="B17" s="31" t="s">
        <v>272</v>
      </c>
      <c r="C17" s="7"/>
      <c r="D17" s="9">
        <f t="shared" si="5"/>
        <v>15539</v>
      </c>
      <c r="E17" s="9">
        <f t="shared" si="5"/>
        <v>16227</v>
      </c>
      <c r="F17" s="27">
        <f t="shared" si="0"/>
        <v>104.42756934165646</v>
      </c>
      <c r="G17" s="28">
        <f t="shared" si="1"/>
        <v>688</v>
      </c>
      <c r="H17" s="32"/>
      <c r="I17" s="32"/>
      <c r="J17" s="32"/>
      <c r="K17" s="32"/>
      <c r="L17" s="32"/>
      <c r="M17" s="32"/>
      <c r="N17" s="32">
        <v>15539</v>
      </c>
      <c r="O17" s="32">
        <v>16227</v>
      </c>
      <c r="P17" s="13"/>
    </row>
    <row r="18" spans="1:16" ht="15.75">
      <c r="A18" s="168"/>
      <c r="B18" s="31" t="s">
        <v>273</v>
      </c>
      <c r="C18" s="7"/>
      <c r="D18" s="9">
        <f t="shared" si="5"/>
        <v>402313</v>
      </c>
      <c r="E18" s="9">
        <f t="shared" si="5"/>
        <v>397951</v>
      </c>
      <c r="F18" s="27">
        <f t="shared" si="0"/>
        <v>98.91576956250482</v>
      </c>
      <c r="G18" s="28">
        <f t="shared" si="1"/>
        <v>-4362</v>
      </c>
      <c r="H18" s="32"/>
      <c r="I18" s="32"/>
      <c r="J18" s="32"/>
      <c r="K18" s="32"/>
      <c r="L18" s="32"/>
      <c r="M18" s="32"/>
      <c r="N18" s="32">
        <v>402313</v>
      </c>
      <c r="O18" s="32">
        <v>397951</v>
      </c>
      <c r="P18" s="13"/>
    </row>
    <row r="19" spans="1:16" ht="15.75">
      <c r="A19" s="168"/>
      <c r="B19" s="31" t="s">
        <v>294</v>
      </c>
      <c r="C19" s="7"/>
      <c r="D19" s="9"/>
      <c r="E19" s="9"/>
      <c r="F19" s="27"/>
      <c r="G19" s="28"/>
      <c r="H19" s="32"/>
      <c r="I19" s="32"/>
      <c r="J19" s="32"/>
      <c r="K19" s="32">
        <v>614</v>
      </c>
      <c r="L19" s="32">
        <v>795</v>
      </c>
      <c r="M19" s="32"/>
      <c r="N19" s="32"/>
      <c r="O19" s="32"/>
      <c r="P19" s="13"/>
    </row>
    <row r="20" spans="1:16" ht="15.75">
      <c r="A20" s="169"/>
      <c r="B20" s="31" t="s">
        <v>274</v>
      </c>
      <c r="C20" s="7"/>
      <c r="D20" s="9">
        <f>H20+K20+N20</f>
        <v>185205</v>
      </c>
      <c r="E20" s="9">
        <f>I20+L20+O20</f>
        <v>195282</v>
      </c>
      <c r="F20" s="27">
        <f t="shared" si="0"/>
        <v>105.44099781323399</v>
      </c>
      <c r="G20" s="28">
        <f t="shared" si="1"/>
        <v>10077</v>
      </c>
      <c r="H20" s="32"/>
      <c r="I20" s="32"/>
      <c r="J20" s="32"/>
      <c r="K20" s="32">
        <v>34579</v>
      </c>
      <c r="L20" s="32">
        <v>41031</v>
      </c>
      <c r="M20" s="32">
        <v>2</v>
      </c>
      <c r="N20" s="32">
        <v>150626</v>
      </c>
      <c r="O20" s="32">
        <v>154251</v>
      </c>
      <c r="P20" s="13"/>
    </row>
    <row r="21" spans="1:16" ht="15.75">
      <c r="A21" s="3"/>
      <c r="B21" s="4"/>
      <c r="C21" s="3"/>
      <c r="D21" s="2"/>
      <c r="E21" s="1"/>
      <c r="F21" s="1"/>
      <c r="G21" s="1"/>
      <c r="J21" s="54">
        <f>SUM(J5:J20)</f>
        <v>0</v>
      </c>
      <c r="M21" s="54">
        <f>SUM(M5:M20)</f>
        <v>16</v>
      </c>
      <c r="P21" s="35">
        <f>SUM(P5:P20)</f>
        <v>12</v>
      </c>
    </row>
    <row r="22" spans="1:7" ht="12.75" customHeight="1">
      <c r="A22" s="82"/>
      <c r="B22" s="82"/>
      <c r="C22" s="82"/>
      <c r="D22" s="82"/>
      <c r="E22" s="82"/>
      <c r="F22" s="82"/>
      <c r="G22" s="5"/>
    </row>
    <row r="23" spans="1:7" ht="15" customHeight="1">
      <c r="A23" s="82"/>
      <c r="B23" s="82"/>
      <c r="C23" s="82"/>
      <c r="D23" s="82"/>
      <c r="E23" s="82"/>
      <c r="F23" s="82"/>
      <c r="G23" s="5"/>
    </row>
  </sheetData>
  <sheetProtection sheet="1"/>
  <mergeCells count="14">
    <mergeCell ref="A22:F22"/>
    <mergeCell ref="A23:F23"/>
    <mergeCell ref="A1:F1"/>
    <mergeCell ref="G3:G4"/>
    <mergeCell ref="A16:A20"/>
    <mergeCell ref="H3:J3"/>
    <mergeCell ref="N3:P3"/>
    <mergeCell ref="A3:A4"/>
    <mergeCell ref="B3:B4"/>
    <mergeCell ref="C3:C4"/>
    <mergeCell ref="D3:D4"/>
    <mergeCell ref="E3:E4"/>
    <mergeCell ref="F3:F4"/>
    <mergeCell ref="K3:M3"/>
  </mergeCells>
  <printOptions/>
  <pageMargins left="0.75" right="0.27" top="0.2" bottom="0.3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59"/>
  <sheetViews>
    <sheetView tabSelected="1" zoomScalePageLayoutView="0" workbookViewId="0" topLeftCell="A1">
      <pane xSplit="3" ySplit="4" topLeftCell="D4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53" sqref="P53:Q55"/>
    </sheetView>
  </sheetViews>
  <sheetFormatPr defaultColWidth="9.00390625" defaultRowHeight="12.75"/>
  <cols>
    <col min="1" max="1" width="6.125" style="0" customWidth="1"/>
    <col min="2" max="2" width="38.00390625" style="0" customWidth="1"/>
    <col min="3" max="3" width="9.875" style="0" customWidth="1"/>
    <col min="4" max="5" width="13.25390625" style="0" customWidth="1"/>
    <col min="6" max="6" width="11.75390625" style="0" customWidth="1"/>
    <col min="7" max="9" width="9.125" style="54" customWidth="1"/>
    <col min="10" max="12" width="9.75390625" style="54" customWidth="1"/>
    <col min="13" max="15" width="9.125" style="66" customWidth="1"/>
    <col min="16" max="24" width="9.125" style="54" customWidth="1"/>
    <col min="25" max="45" width="9.125" style="67" customWidth="1"/>
    <col min="46" max="51" width="9.125" style="35" customWidth="1"/>
    <col min="52" max="52" width="9.875" style="35" customWidth="1"/>
    <col min="53" max="54" width="9.125" style="35" customWidth="1"/>
    <col min="55" max="93" width="9.125" style="54" customWidth="1"/>
    <col min="94" max="98" width="9.125" style="35" customWidth="1"/>
    <col min="99" max="99" width="9.125" style="1" customWidth="1"/>
  </cols>
  <sheetData>
    <row r="1" spans="1:15" ht="57.75" customHeight="1">
      <c r="A1" s="95" t="s">
        <v>291</v>
      </c>
      <c r="B1" s="95"/>
      <c r="C1" s="95"/>
      <c r="D1" s="95"/>
      <c r="E1" s="95"/>
      <c r="F1" s="95"/>
      <c r="G1" s="58"/>
      <c r="H1" s="58"/>
      <c r="I1" s="58"/>
      <c r="J1" s="58"/>
      <c r="K1" s="58"/>
      <c r="L1" s="58"/>
      <c r="M1" s="59"/>
      <c r="N1" s="59"/>
      <c r="O1" s="59"/>
    </row>
    <row r="3" spans="1:99" ht="30" customHeight="1">
      <c r="A3" s="83" t="s">
        <v>0</v>
      </c>
      <c r="B3" s="83" t="s">
        <v>53</v>
      </c>
      <c r="C3" s="83" t="s">
        <v>2</v>
      </c>
      <c r="D3" s="83" t="s">
        <v>54</v>
      </c>
      <c r="E3" s="83" t="s">
        <v>24</v>
      </c>
      <c r="F3" s="83" t="s">
        <v>26</v>
      </c>
      <c r="G3" s="171" t="s">
        <v>265</v>
      </c>
      <c r="H3" s="174"/>
      <c r="I3" s="173"/>
      <c r="J3" s="171" t="s">
        <v>266</v>
      </c>
      <c r="K3" s="172"/>
      <c r="L3" s="173"/>
      <c r="M3" s="171" t="s">
        <v>267</v>
      </c>
      <c r="N3" s="172"/>
      <c r="O3" s="173"/>
      <c r="P3" s="103" t="s">
        <v>261</v>
      </c>
      <c r="Q3" s="166"/>
      <c r="R3" s="175"/>
      <c r="S3" s="103" t="s">
        <v>262</v>
      </c>
      <c r="T3" s="166"/>
      <c r="U3" s="105"/>
      <c r="V3" s="103" t="s">
        <v>263</v>
      </c>
      <c r="W3" s="166"/>
      <c r="X3" s="105"/>
      <c r="Y3" s="103" t="s">
        <v>252</v>
      </c>
      <c r="Z3" s="104"/>
      <c r="AA3" s="105"/>
      <c r="AB3" s="103" t="s">
        <v>253</v>
      </c>
      <c r="AC3" s="104"/>
      <c r="AD3" s="105"/>
      <c r="AE3" s="103" t="s">
        <v>254</v>
      </c>
      <c r="AF3" s="104"/>
      <c r="AG3" s="105"/>
      <c r="AH3" s="103" t="s">
        <v>255</v>
      </c>
      <c r="AI3" s="104"/>
      <c r="AJ3" s="105"/>
      <c r="AK3" s="103" t="s">
        <v>256</v>
      </c>
      <c r="AL3" s="104"/>
      <c r="AM3" s="175"/>
      <c r="AN3" s="103" t="s">
        <v>257</v>
      </c>
      <c r="AO3" s="166"/>
      <c r="AP3" s="105"/>
      <c r="AQ3" s="103" t="s">
        <v>233</v>
      </c>
      <c r="AR3" s="104"/>
      <c r="AS3" s="105"/>
      <c r="AT3" s="103" t="s">
        <v>235</v>
      </c>
      <c r="AU3" s="104"/>
      <c r="AV3" s="105"/>
      <c r="AW3" s="103" t="s">
        <v>234</v>
      </c>
      <c r="AX3" s="104"/>
      <c r="AY3" s="105"/>
      <c r="AZ3" s="103" t="s">
        <v>236</v>
      </c>
      <c r="BA3" s="166"/>
      <c r="BB3" s="105"/>
      <c r="BC3" s="171" t="s">
        <v>277</v>
      </c>
      <c r="BD3" s="172"/>
      <c r="BE3" s="173"/>
      <c r="BF3" s="103" t="s">
        <v>278</v>
      </c>
      <c r="BG3" s="104"/>
      <c r="BH3" s="105"/>
      <c r="BI3" s="103" t="s">
        <v>279</v>
      </c>
      <c r="BJ3" s="104"/>
      <c r="BK3" s="105"/>
      <c r="BL3" s="103" t="s">
        <v>280</v>
      </c>
      <c r="BM3" s="104"/>
      <c r="BN3" s="105"/>
      <c r="BO3" s="103" t="s">
        <v>281</v>
      </c>
      <c r="BP3" s="104"/>
      <c r="BQ3" s="105"/>
      <c r="BR3" s="103" t="s">
        <v>282</v>
      </c>
      <c r="BS3" s="104"/>
      <c r="BT3" s="105"/>
      <c r="BU3" s="103" t="s">
        <v>283</v>
      </c>
      <c r="BV3" s="104"/>
      <c r="BW3" s="105"/>
      <c r="BX3" s="103" t="s">
        <v>284</v>
      </c>
      <c r="BY3" s="104"/>
      <c r="BZ3" s="105"/>
      <c r="CA3" s="103" t="s">
        <v>285</v>
      </c>
      <c r="CB3" s="104"/>
      <c r="CC3" s="105"/>
      <c r="CD3" s="171" t="s">
        <v>286</v>
      </c>
      <c r="CE3" s="172"/>
      <c r="CF3" s="173"/>
      <c r="CG3" s="103" t="s">
        <v>287</v>
      </c>
      <c r="CH3" s="104"/>
      <c r="CI3" s="105"/>
      <c r="CJ3" s="103" t="s">
        <v>288</v>
      </c>
      <c r="CK3" s="104"/>
      <c r="CL3" s="105"/>
      <c r="CM3" s="171" t="s">
        <v>289</v>
      </c>
      <c r="CN3" s="172"/>
      <c r="CO3" s="173"/>
      <c r="CP3" s="171" t="s">
        <v>295</v>
      </c>
      <c r="CQ3" s="172"/>
      <c r="CR3" s="173"/>
      <c r="CS3" s="151" t="s">
        <v>231</v>
      </c>
      <c r="CT3" s="151"/>
      <c r="CU3" s="107"/>
    </row>
    <row r="4" spans="1:99" ht="80.25" customHeight="1">
      <c r="A4" s="75"/>
      <c r="B4" s="75"/>
      <c r="C4" s="75"/>
      <c r="D4" s="75"/>
      <c r="E4" s="75"/>
      <c r="F4" s="75"/>
      <c r="G4" s="55" t="s">
        <v>259</v>
      </c>
      <c r="H4" s="55" t="s">
        <v>260</v>
      </c>
      <c r="I4" s="55" t="s">
        <v>297</v>
      </c>
      <c r="J4" s="55" t="s">
        <v>259</v>
      </c>
      <c r="K4" s="55" t="s">
        <v>260</v>
      </c>
      <c r="L4" s="55" t="s">
        <v>297</v>
      </c>
      <c r="M4" s="55" t="s">
        <v>259</v>
      </c>
      <c r="N4" s="55" t="s">
        <v>260</v>
      </c>
      <c r="O4" s="55" t="s">
        <v>297</v>
      </c>
      <c r="P4" s="55" t="s">
        <v>259</v>
      </c>
      <c r="Q4" s="55" t="s">
        <v>260</v>
      </c>
      <c r="R4" s="55" t="s">
        <v>297</v>
      </c>
      <c r="S4" s="55" t="s">
        <v>259</v>
      </c>
      <c r="T4" s="55" t="s">
        <v>260</v>
      </c>
      <c r="U4" s="55" t="s">
        <v>297</v>
      </c>
      <c r="V4" s="55" t="s">
        <v>259</v>
      </c>
      <c r="W4" s="55" t="s">
        <v>260</v>
      </c>
      <c r="X4" s="55" t="s">
        <v>297</v>
      </c>
      <c r="Y4" s="36" t="s">
        <v>237</v>
      </c>
      <c r="Z4" s="36" t="s">
        <v>238</v>
      </c>
      <c r="AA4" s="55" t="s">
        <v>297</v>
      </c>
      <c r="AB4" s="36" t="s">
        <v>237</v>
      </c>
      <c r="AC4" s="36" t="s">
        <v>238</v>
      </c>
      <c r="AD4" s="55" t="s">
        <v>297</v>
      </c>
      <c r="AE4" s="36" t="s">
        <v>237</v>
      </c>
      <c r="AF4" s="36" t="s">
        <v>238</v>
      </c>
      <c r="AG4" s="55" t="s">
        <v>297</v>
      </c>
      <c r="AH4" s="36" t="s">
        <v>237</v>
      </c>
      <c r="AI4" s="36" t="s">
        <v>238</v>
      </c>
      <c r="AJ4" s="55" t="s">
        <v>297</v>
      </c>
      <c r="AK4" s="36" t="s">
        <v>237</v>
      </c>
      <c r="AL4" s="36" t="s">
        <v>238</v>
      </c>
      <c r="AM4" s="36" t="s">
        <v>297</v>
      </c>
      <c r="AN4" s="36" t="s">
        <v>237</v>
      </c>
      <c r="AO4" s="36" t="s">
        <v>238</v>
      </c>
      <c r="AP4" s="55" t="s">
        <v>297</v>
      </c>
      <c r="AQ4" s="36" t="s">
        <v>237</v>
      </c>
      <c r="AR4" s="36" t="s">
        <v>238</v>
      </c>
      <c r="AS4" s="55" t="s">
        <v>297</v>
      </c>
      <c r="AT4" s="36" t="s">
        <v>237</v>
      </c>
      <c r="AU4" s="36" t="s">
        <v>238</v>
      </c>
      <c r="AV4" s="55" t="s">
        <v>297</v>
      </c>
      <c r="AW4" s="36" t="s">
        <v>237</v>
      </c>
      <c r="AX4" s="36" t="s">
        <v>238</v>
      </c>
      <c r="AY4" s="55" t="s">
        <v>297</v>
      </c>
      <c r="AZ4" s="36" t="s">
        <v>237</v>
      </c>
      <c r="BA4" s="36" t="s">
        <v>238</v>
      </c>
      <c r="BB4" s="55" t="s">
        <v>297</v>
      </c>
      <c r="BC4" s="36" t="s">
        <v>237</v>
      </c>
      <c r="BD4" s="36" t="s">
        <v>238</v>
      </c>
      <c r="BE4" s="55" t="s">
        <v>297</v>
      </c>
      <c r="BF4" s="36" t="s">
        <v>237</v>
      </c>
      <c r="BG4" s="36" t="s">
        <v>238</v>
      </c>
      <c r="BH4" s="55" t="s">
        <v>297</v>
      </c>
      <c r="BI4" s="36" t="s">
        <v>237</v>
      </c>
      <c r="BJ4" s="36" t="s">
        <v>238</v>
      </c>
      <c r="BK4" s="55" t="s">
        <v>297</v>
      </c>
      <c r="BL4" s="36" t="s">
        <v>237</v>
      </c>
      <c r="BM4" s="36" t="s">
        <v>238</v>
      </c>
      <c r="BN4" s="55" t="s">
        <v>297</v>
      </c>
      <c r="BO4" s="36" t="s">
        <v>237</v>
      </c>
      <c r="BP4" s="36" t="s">
        <v>238</v>
      </c>
      <c r="BQ4" s="55" t="s">
        <v>297</v>
      </c>
      <c r="BR4" s="36" t="s">
        <v>237</v>
      </c>
      <c r="BS4" s="36" t="s">
        <v>238</v>
      </c>
      <c r="BT4" s="55" t="s">
        <v>297</v>
      </c>
      <c r="BU4" s="36" t="s">
        <v>237</v>
      </c>
      <c r="BV4" s="36" t="s">
        <v>238</v>
      </c>
      <c r="BW4" s="55" t="s">
        <v>297</v>
      </c>
      <c r="BX4" s="36" t="s">
        <v>237</v>
      </c>
      <c r="BY4" s="36" t="s">
        <v>238</v>
      </c>
      <c r="BZ4" s="55" t="s">
        <v>297</v>
      </c>
      <c r="CA4" s="36" t="s">
        <v>237</v>
      </c>
      <c r="CB4" s="36" t="s">
        <v>238</v>
      </c>
      <c r="CC4" s="55" t="s">
        <v>297</v>
      </c>
      <c r="CD4" s="36" t="s">
        <v>237</v>
      </c>
      <c r="CE4" s="36" t="s">
        <v>238</v>
      </c>
      <c r="CF4" s="55" t="s">
        <v>297</v>
      </c>
      <c r="CG4" s="36" t="s">
        <v>237</v>
      </c>
      <c r="CH4" s="36" t="s">
        <v>238</v>
      </c>
      <c r="CI4" s="55" t="s">
        <v>297</v>
      </c>
      <c r="CJ4" s="36" t="s">
        <v>237</v>
      </c>
      <c r="CK4" s="36" t="s">
        <v>238</v>
      </c>
      <c r="CL4" s="55" t="s">
        <v>297</v>
      </c>
      <c r="CM4" s="36" t="s">
        <v>237</v>
      </c>
      <c r="CN4" s="36" t="s">
        <v>238</v>
      </c>
      <c r="CO4" s="55" t="s">
        <v>297</v>
      </c>
      <c r="CP4" s="36" t="s">
        <v>237</v>
      </c>
      <c r="CQ4" s="36" t="s">
        <v>238</v>
      </c>
      <c r="CR4" s="55" t="s">
        <v>297</v>
      </c>
      <c r="CS4" s="36" t="s">
        <v>237</v>
      </c>
      <c r="CT4" s="36" t="s">
        <v>238</v>
      </c>
      <c r="CU4" s="55" t="s">
        <v>297</v>
      </c>
    </row>
    <row r="5" spans="1:99" ht="33.75" customHeight="1">
      <c r="A5" s="16" t="s">
        <v>3</v>
      </c>
      <c r="B5" s="9" t="s">
        <v>177</v>
      </c>
      <c r="C5" s="7" t="s">
        <v>4</v>
      </c>
      <c r="D5" s="9"/>
      <c r="E5" s="13"/>
      <c r="F5" s="13"/>
      <c r="G5" s="32">
        <v>0</v>
      </c>
      <c r="H5" s="32">
        <v>0</v>
      </c>
      <c r="I5" s="32"/>
      <c r="J5" s="32">
        <v>0</v>
      </c>
      <c r="K5" s="32">
        <v>0</v>
      </c>
      <c r="L5" s="32"/>
      <c r="M5" s="32">
        <v>0</v>
      </c>
      <c r="N5" s="32">
        <v>0</v>
      </c>
      <c r="O5" s="32"/>
      <c r="P5" s="32"/>
      <c r="Q5" s="32"/>
      <c r="R5" s="32"/>
      <c r="S5" s="32">
        <v>0</v>
      </c>
      <c r="T5" s="32">
        <v>0</v>
      </c>
      <c r="U5" s="32"/>
      <c r="V5" s="32">
        <v>0</v>
      </c>
      <c r="W5" s="32">
        <v>0</v>
      </c>
      <c r="X5" s="32"/>
      <c r="Y5" s="68">
        <v>0</v>
      </c>
      <c r="Z5" s="68">
        <v>0</v>
      </c>
      <c r="AA5" s="68"/>
      <c r="AB5" s="68">
        <v>0</v>
      </c>
      <c r="AC5" s="68">
        <v>0</v>
      </c>
      <c r="AD5" s="68"/>
      <c r="AE5" s="68">
        <v>0</v>
      </c>
      <c r="AF5" s="68">
        <v>0</v>
      </c>
      <c r="AG5" s="68"/>
      <c r="AH5" s="68">
        <v>0</v>
      </c>
      <c r="AI5" s="68">
        <v>0</v>
      </c>
      <c r="AJ5" s="68"/>
      <c r="AK5" s="68"/>
      <c r="AL5" s="68"/>
      <c r="AM5" s="68"/>
      <c r="AN5" s="68">
        <v>0</v>
      </c>
      <c r="AO5" s="68">
        <v>0</v>
      </c>
      <c r="AP5" s="68"/>
      <c r="AQ5" s="68">
        <v>0</v>
      </c>
      <c r="AR5" s="68">
        <v>0</v>
      </c>
      <c r="AS5" s="68"/>
      <c r="AT5" s="32">
        <v>0</v>
      </c>
      <c r="AU5" s="32">
        <v>0</v>
      </c>
      <c r="AV5" s="32"/>
      <c r="AW5" s="32">
        <v>0</v>
      </c>
      <c r="AX5" s="32">
        <v>0</v>
      </c>
      <c r="AY5" s="32"/>
      <c r="AZ5" s="32">
        <v>0</v>
      </c>
      <c r="BA5" s="32">
        <v>0</v>
      </c>
      <c r="BB5" s="32"/>
      <c r="BC5" s="32">
        <v>0</v>
      </c>
      <c r="BD5" s="32">
        <v>0.04</v>
      </c>
      <c r="BE5" s="32">
        <v>-5</v>
      </c>
      <c r="BF5" s="32">
        <v>0</v>
      </c>
      <c r="BG5" s="32">
        <v>0</v>
      </c>
      <c r="BH5" s="32"/>
      <c r="BI5" s="32">
        <v>0</v>
      </c>
      <c r="BJ5" s="32">
        <v>0</v>
      </c>
      <c r="BK5" s="32"/>
      <c r="BL5" s="32">
        <v>0</v>
      </c>
      <c r="BM5" s="32">
        <v>0</v>
      </c>
      <c r="BN5" s="32"/>
      <c r="BO5" s="32">
        <v>0</v>
      </c>
      <c r="BP5" s="32">
        <v>8</v>
      </c>
      <c r="BQ5" s="32">
        <v>-5</v>
      </c>
      <c r="BR5" s="32">
        <v>0</v>
      </c>
      <c r="BS5" s="32">
        <v>0.1</v>
      </c>
      <c r="BT5" s="32">
        <v>-5</v>
      </c>
      <c r="BU5" s="32">
        <v>0</v>
      </c>
      <c r="BV5" s="32">
        <v>0</v>
      </c>
      <c r="BW5" s="32"/>
      <c r="BX5" s="32">
        <v>0</v>
      </c>
      <c r="BY5" s="32">
        <v>0.3</v>
      </c>
      <c r="BZ5" s="32">
        <v>-5</v>
      </c>
      <c r="CA5" s="32">
        <v>0</v>
      </c>
      <c r="CB5" s="32">
        <v>0.1</v>
      </c>
      <c r="CC5" s="32">
        <v>-5</v>
      </c>
      <c r="CD5" s="32">
        <v>0</v>
      </c>
      <c r="CE5" s="32">
        <v>0</v>
      </c>
      <c r="CF5" s="32"/>
      <c r="CG5" s="32">
        <v>0</v>
      </c>
      <c r="CH5" s="32">
        <v>0.1</v>
      </c>
      <c r="CI5" s="32">
        <v>-5</v>
      </c>
      <c r="CJ5" s="32">
        <v>0</v>
      </c>
      <c r="CK5" s="32">
        <v>0</v>
      </c>
      <c r="CL5" s="32"/>
      <c r="CM5" s="32">
        <v>0</v>
      </c>
      <c r="CN5" s="32">
        <v>0</v>
      </c>
      <c r="CO5" s="32"/>
      <c r="CP5" s="32">
        <v>0</v>
      </c>
      <c r="CQ5" s="32">
        <v>0</v>
      </c>
      <c r="CR5" s="32"/>
      <c r="CS5" s="32">
        <v>0</v>
      </c>
      <c r="CT5" s="32">
        <v>0</v>
      </c>
      <c r="CU5" s="13"/>
    </row>
    <row r="6" spans="1:99" ht="63">
      <c r="A6" s="16" t="s">
        <v>78</v>
      </c>
      <c r="B6" s="10" t="s">
        <v>178</v>
      </c>
      <c r="C6" s="7" t="s">
        <v>17</v>
      </c>
      <c r="D6" s="9"/>
      <c r="E6" s="13"/>
      <c r="F6" s="13"/>
      <c r="G6" s="32">
        <v>0</v>
      </c>
      <c r="H6" s="32">
        <v>0</v>
      </c>
      <c r="I6" s="32"/>
      <c r="J6" s="32">
        <v>0</v>
      </c>
      <c r="K6" s="32">
        <v>0</v>
      </c>
      <c r="L6" s="32"/>
      <c r="M6" s="32">
        <v>0</v>
      </c>
      <c r="N6" s="32">
        <v>0</v>
      </c>
      <c r="O6" s="32"/>
      <c r="P6" s="32"/>
      <c r="Q6" s="32"/>
      <c r="R6" s="32"/>
      <c r="S6" s="32">
        <v>0</v>
      </c>
      <c r="T6" s="32">
        <v>0</v>
      </c>
      <c r="U6" s="32"/>
      <c r="V6" s="32">
        <v>0</v>
      </c>
      <c r="W6" s="32">
        <v>0</v>
      </c>
      <c r="X6" s="32"/>
      <c r="Y6" s="63">
        <v>0</v>
      </c>
      <c r="Z6" s="63">
        <v>0</v>
      </c>
      <c r="AA6" s="63"/>
      <c r="AB6" s="63">
        <v>0</v>
      </c>
      <c r="AC6" s="63">
        <v>0</v>
      </c>
      <c r="AD6" s="63"/>
      <c r="AE6" s="63">
        <v>0</v>
      </c>
      <c r="AF6" s="63">
        <v>0</v>
      </c>
      <c r="AG6" s="63"/>
      <c r="AH6" s="63">
        <v>0</v>
      </c>
      <c r="AI6" s="63">
        <v>0</v>
      </c>
      <c r="AJ6" s="63"/>
      <c r="AK6" s="63"/>
      <c r="AL6" s="63"/>
      <c r="AM6" s="63"/>
      <c r="AN6" s="63">
        <v>0</v>
      </c>
      <c r="AO6" s="63">
        <v>0</v>
      </c>
      <c r="AP6" s="63"/>
      <c r="AQ6" s="63">
        <v>0</v>
      </c>
      <c r="AR6" s="63">
        <v>0</v>
      </c>
      <c r="AS6" s="63"/>
      <c r="AT6" s="32">
        <v>0</v>
      </c>
      <c r="AU6" s="32">
        <v>0</v>
      </c>
      <c r="AV6" s="32"/>
      <c r="AW6" s="32">
        <v>0</v>
      </c>
      <c r="AX6" s="32">
        <v>0</v>
      </c>
      <c r="AY6" s="32"/>
      <c r="AZ6" s="32">
        <v>0</v>
      </c>
      <c r="BA6" s="32">
        <v>0</v>
      </c>
      <c r="BB6" s="32"/>
      <c r="BC6" s="32">
        <v>0</v>
      </c>
      <c r="BD6" s="32">
        <v>0</v>
      </c>
      <c r="BE6" s="32"/>
      <c r="BF6" s="32">
        <v>0</v>
      </c>
      <c r="BG6" s="32">
        <v>0</v>
      </c>
      <c r="BH6" s="32"/>
      <c r="BI6" s="32">
        <v>0</v>
      </c>
      <c r="BJ6" s="32">
        <v>0</v>
      </c>
      <c r="BK6" s="32"/>
      <c r="BL6" s="32">
        <v>0</v>
      </c>
      <c r="BM6" s="32">
        <v>0</v>
      </c>
      <c r="BN6" s="32"/>
      <c r="BO6" s="32">
        <v>0</v>
      </c>
      <c r="BP6" s="32">
        <v>0</v>
      </c>
      <c r="BQ6" s="32"/>
      <c r="BR6" s="32">
        <v>0</v>
      </c>
      <c r="BS6" s="32">
        <v>0</v>
      </c>
      <c r="BT6" s="32"/>
      <c r="BU6" s="32">
        <v>0</v>
      </c>
      <c r="BV6" s="32">
        <v>0</v>
      </c>
      <c r="BW6" s="32"/>
      <c r="BX6" s="32">
        <v>0</v>
      </c>
      <c r="BY6" s="32">
        <v>0</v>
      </c>
      <c r="BZ6" s="32"/>
      <c r="CA6" s="32">
        <v>0</v>
      </c>
      <c r="CB6" s="32">
        <v>0</v>
      </c>
      <c r="CC6" s="32"/>
      <c r="CD6" s="32">
        <v>0</v>
      </c>
      <c r="CE6" s="32">
        <v>0</v>
      </c>
      <c r="CF6" s="32"/>
      <c r="CG6" s="32">
        <v>0</v>
      </c>
      <c r="CH6" s="32">
        <v>0</v>
      </c>
      <c r="CI6" s="32"/>
      <c r="CJ6" s="32">
        <v>0</v>
      </c>
      <c r="CK6" s="32">
        <v>0</v>
      </c>
      <c r="CL6" s="32"/>
      <c r="CM6" s="32">
        <v>0</v>
      </c>
      <c r="CN6" s="32">
        <v>0</v>
      </c>
      <c r="CO6" s="32"/>
      <c r="CP6" s="32">
        <v>0</v>
      </c>
      <c r="CQ6" s="32">
        <v>0</v>
      </c>
      <c r="CR6" s="32"/>
      <c r="CS6" s="32">
        <v>0</v>
      </c>
      <c r="CT6" s="32">
        <v>0</v>
      </c>
      <c r="CU6" s="13"/>
    </row>
    <row r="7" spans="1:99" ht="31.5">
      <c r="A7" s="16" t="s">
        <v>5</v>
      </c>
      <c r="B7" s="10" t="s">
        <v>179</v>
      </c>
      <c r="C7" s="7" t="s">
        <v>4</v>
      </c>
      <c r="D7" s="9"/>
      <c r="E7" s="13"/>
      <c r="F7" s="13"/>
      <c r="G7" s="32">
        <v>0</v>
      </c>
      <c r="H7" s="32">
        <v>0</v>
      </c>
      <c r="I7" s="32"/>
      <c r="J7" s="32">
        <v>-1881.4</v>
      </c>
      <c r="K7" s="32">
        <v>-393.3</v>
      </c>
      <c r="L7" s="32"/>
      <c r="M7" s="32">
        <v>3.4</v>
      </c>
      <c r="N7" s="32">
        <v>3.4</v>
      </c>
      <c r="O7" s="32"/>
      <c r="P7" s="32"/>
      <c r="Q7" s="32"/>
      <c r="R7" s="32"/>
      <c r="S7" s="32">
        <v>16.7</v>
      </c>
      <c r="T7" s="32">
        <v>44.1</v>
      </c>
      <c r="U7" s="32">
        <v>-2</v>
      </c>
      <c r="V7" s="32">
        <v>90.9</v>
      </c>
      <c r="W7" s="32">
        <v>63.7</v>
      </c>
      <c r="X7" s="32"/>
      <c r="Y7" s="63">
        <v>0</v>
      </c>
      <c r="Z7" s="63">
        <v>0</v>
      </c>
      <c r="AA7" s="63"/>
      <c r="AB7" s="63">
        <v>9.4</v>
      </c>
      <c r="AC7" s="63">
        <v>193.1</v>
      </c>
      <c r="AD7" s="63">
        <v>-2</v>
      </c>
      <c r="AE7" s="63">
        <v>-31.8</v>
      </c>
      <c r="AF7" s="63">
        <v>74.5</v>
      </c>
      <c r="AG7" s="63">
        <v>-2</v>
      </c>
      <c r="AH7" s="63">
        <v>72.4</v>
      </c>
      <c r="AI7" s="63">
        <v>16.2</v>
      </c>
      <c r="AJ7" s="63"/>
      <c r="AK7" s="63"/>
      <c r="AL7" s="63"/>
      <c r="AM7" s="63"/>
      <c r="AN7" s="63">
        <v>0.8</v>
      </c>
      <c r="AO7" s="63">
        <v>1.1</v>
      </c>
      <c r="AP7" s="63">
        <v>-2</v>
      </c>
      <c r="AQ7" s="63">
        <v>13.1</v>
      </c>
      <c r="AR7" s="63">
        <v>4.1</v>
      </c>
      <c r="AS7" s="63"/>
      <c r="AT7" s="32">
        <v>-8181.7</v>
      </c>
      <c r="AU7" s="32">
        <v>18.3</v>
      </c>
      <c r="AV7" s="32">
        <v>-2</v>
      </c>
      <c r="AW7" s="32">
        <v>42.3</v>
      </c>
      <c r="AX7" s="32">
        <v>164.5</v>
      </c>
      <c r="AY7" s="32">
        <v>-2</v>
      </c>
      <c r="AZ7" s="32">
        <v>24.6</v>
      </c>
      <c r="BA7" s="32">
        <v>9</v>
      </c>
      <c r="BB7" s="32"/>
      <c r="BC7" s="32">
        <v>19.7</v>
      </c>
      <c r="BD7" s="32">
        <v>22.6</v>
      </c>
      <c r="BE7" s="32">
        <v>-2</v>
      </c>
      <c r="BF7" s="32">
        <v>-8.3</v>
      </c>
      <c r="BG7" s="32">
        <v>-2.9</v>
      </c>
      <c r="BH7" s="32"/>
      <c r="BI7" s="32">
        <v>15.4</v>
      </c>
      <c r="BJ7" s="32">
        <v>12.7</v>
      </c>
      <c r="BK7" s="32"/>
      <c r="BL7" s="32">
        <v>-20.5</v>
      </c>
      <c r="BM7" s="32">
        <v>11.2</v>
      </c>
      <c r="BN7" s="32">
        <v>-2</v>
      </c>
      <c r="BO7" s="32">
        <v>-12.2</v>
      </c>
      <c r="BP7" s="32">
        <v>6.6</v>
      </c>
      <c r="BQ7" s="32">
        <v>-2</v>
      </c>
      <c r="BR7" s="32">
        <v>-5.2</v>
      </c>
      <c r="BS7" s="32">
        <v>-5.8</v>
      </c>
      <c r="BT7" s="32"/>
      <c r="BU7" s="32">
        <v>-13.6</v>
      </c>
      <c r="BV7" s="32">
        <v>-12.8</v>
      </c>
      <c r="BW7" s="32"/>
      <c r="BX7" s="32">
        <v>-9.9</v>
      </c>
      <c r="BY7" s="32">
        <v>-10.6</v>
      </c>
      <c r="BZ7" s="32"/>
      <c r="CA7" s="32">
        <v>-31.4</v>
      </c>
      <c r="CB7" s="32">
        <v>-20.5</v>
      </c>
      <c r="CC7" s="32"/>
      <c r="CD7" s="32">
        <v>-18.6</v>
      </c>
      <c r="CE7" s="32">
        <v>-22.8</v>
      </c>
      <c r="CF7" s="32"/>
      <c r="CG7" s="32">
        <v>-11.8</v>
      </c>
      <c r="CH7" s="32">
        <v>-9.5</v>
      </c>
      <c r="CI7" s="32"/>
      <c r="CJ7" s="32">
        <v>-26.9</v>
      </c>
      <c r="CK7" s="32">
        <v>-52.4</v>
      </c>
      <c r="CL7" s="32"/>
      <c r="CM7" s="32">
        <v>-20.8</v>
      </c>
      <c r="CN7" s="32">
        <v>-35.4</v>
      </c>
      <c r="CO7" s="32"/>
      <c r="CP7" s="32">
        <v>2.5</v>
      </c>
      <c r="CQ7" s="32">
        <v>40.6</v>
      </c>
      <c r="CR7" s="32">
        <v>-2</v>
      </c>
      <c r="CS7" s="32">
        <v>0.3</v>
      </c>
      <c r="CT7" s="32">
        <v>26.4</v>
      </c>
      <c r="CU7" s="13">
        <v>-2</v>
      </c>
    </row>
    <row r="8" spans="1:99" ht="31.5">
      <c r="A8" s="16" t="s">
        <v>222</v>
      </c>
      <c r="B8" s="19" t="s">
        <v>180</v>
      </c>
      <c r="C8" s="7"/>
      <c r="D8" s="9"/>
      <c r="E8" s="13"/>
      <c r="F8" s="13"/>
      <c r="G8" s="32">
        <v>0</v>
      </c>
      <c r="H8" s="32">
        <v>0</v>
      </c>
      <c r="I8" s="32"/>
      <c r="J8" s="32">
        <v>0</v>
      </c>
      <c r="K8" s="32">
        <v>0</v>
      </c>
      <c r="L8" s="32"/>
      <c r="M8" s="32">
        <v>0</v>
      </c>
      <c r="N8" s="32">
        <v>0</v>
      </c>
      <c r="O8" s="32"/>
      <c r="P8" s="32"/>
      <c r="Q8" s="32"/>
      <c r="R8" s="32"/>
      <c r="S8" s="32">
        <v>0</v>
      </c>
      <c r="T8" s="32">
        <v>0</v>
      </c>
      <c r="U8" s="32"/>
      <c r="V8" s="32">
        <v>0</v>
      </c>
      <c r="W8" s="32">
        <v>0</v>
      </c>
      <c r="X8" s="32"/>
      <c r="Y8" s="63">
        <v>0</v>
      </c>
      <c r="Z8" s="63">
        <v>0</v>
      </c>
      <c r="AA8" s="63"/>
      <c r="AB8" s="63">
        <v>0</v>
      </c>
      <c r="AC8" s="63">
        <v>0</v>
      </c>
      <c r="AD8" s="63"/>
      <c r="AE8" s="63">
        <v>0</v>
      </c>
      <c r="AF8" s="63">
        <v>0</v>
      </c>
      <c r="AG8" s="63"/>
      <c r="AH8" s="63">
        <v>0</v>
      </c>
      <c r="AI8" s="63">
        <v>0</v>
      </c>
      <c r="AJ8" s="63"/>
      <c r="AK8" s="63"/>
      <c r="AL8" s="63"/>
      <c r="AM8" s="63"/>
      <c r="AN8" s="63">
        <v>0</v>
      </c>
      <c r="AO8" s="63">
        <v>0</v>
      </c>
      <c r="AP8" s="63"/>
      <c r="AQ8" s="63">
        <v>13.1</v>
      </c>
      <c r="AR8" s="63">
        <v>4.1</v>
      </c>
      <c r="AS8" s="63"/>
      <c r="AT8" s="32">
        <v>0</v>
      </c>
      <c r="AU8" s="32">
        <v>0</v>
      </c>
      <c r="AV8" s="32"/>
      <c r="AW8" s="32">
        <v>42.3</v>
      </c>
      <c r="AX8" s="32">
        <v>43</v>
      </c>
      <c r="AY8" s="32"/>
      <c r="AZ8" s="32">
        <v>0</v>
      </c>
      <c r="BA8" s="32">
        <v>0</v>
      </c>
      <c r="BB8" s="32"/>
      <c r="BC8" s="32">
        <v>-18.5</v>
      </c>
      <c r="BD8" s="32">
        <v>-27.6</v>
      </c>
      <c r="BE8" s="32"/>
      <c r="BF8" s="32">
        <v>-9.2</v>
      </c>
      <c r="BG8" s="32">
        <v>-24.2</v>
      </c>
      <c r="BH8" s="32"/>
      <c r="BI8" s="32">
        <v>-4.2</v>
      </c>
      <c r="BJ8" s="32">
        <v>-12.2</v>
      </c>
      <c r="BK8" s="32"/>
      <c r="BL8" s="32">
        <v>-21.7</v>
      </c>
      <c r="BM8" s="32">
        <v>-12.4</v>
      </c>
      <c r="BN8" s="32"/>
      <c r="BO8" s="32">
        <v>-13.6</v>
      </c>
      <c r="BP8" s="32">
        <v>-28.7</v>
      </c>
      <c r="BQ8" s="32"/>
      <c r="BR8" s="32">
        <v>-6</v>
      </c>
      <c r="BS8" s="32">
        <v>-5.8</v>
      </c>
      <c r="BT8" s="32"/>
      <c r="BU8" s="32">
        <v>-14.5</v>
      </c>
      <c r="BV8" s="32">
        <v>-15.9</v>
      </c>
      <c r="BW8" s="32"/>
      <c r="BX8" s="32">
        <v>-11.6</v>
      </c>
      <c r="BY8" s="32">
        <v>-10.6</v>
      </c>
      <c r="BZ8" s="32"/>
      <c r="CA8" s="32">
        <v>-32.2</v>
      </c>
      <c r="CB8" s="32">
        <v>-64.9</v>
      </c>
      <c r="CC8" s="32"/>
      <c r="CD8" s="32">
        <v>-19.4</v>
      </c>
      <c r="CE8" s="32">
        <v>-23</v>
      </c>
      <c r="CF8" s="32"/>
      <c r="CG8" s="32">
        <v>-12.7</v>
      </c>
      <c r="CH8" s="32">
        <v>-24.6</v>
      </c>
      <c r="CI8" s="32"/>
      <c r="CJ8" s="32">
        <v>-28.6</v>
      </c>
      <c r="CK8" s="32">
        <v>-54.4</v>
      </c>
      <c r="CL8" s="32"/>
      <c r="CM8" s="32">
        <v>-21.7</v>
      </c>
      <c r="CN8" s="32">
        <v>-36.4</v>
      </c>
      <c r="CO8" s="32"/>
      <c r="CP8" s="32">
        <v>0</v>
      </c>
      <c r="CQ8" s="32">
        <v>0</v>
      </c>
      <c r="CR8" s="32"/>
      <c r="CS8" s="32">
        <v>0</v>
      </c>
      <c r="CT8" s="32">
        <v>0</v>
      </c>
      <c r="CU8" s="13"/>
    </row>
    <row r="9" spans="1:99" ht="15.75">
      <c r="A9" s="16" t="s">
        <v>223</v>
      </c>
      <c r="B9" s="19" t="s">
        <v>225</v>
      </c>
      <c r="C9" s="17"/>
      <c r="D9" s="17"/>
      <c r="E9" s="22"/>
      <c r="F9" s="22"/>
      <c r="G9" s="60">
        <v>0</v>
      </c>
      <c r="H9" s="60">
        <v>0</v>
      </c>
      <c r="I9" s="60"/>
      <c r="J9" s="60">
        <v>0</v>
      </c>
      <c r="K9" s="60">
        <v>0</v>
      </c>
      <c r="L9" s="60"/>
      <c r="M9" s="60">
        <v>0</v>
      </c>
      <c r="N9" s="60">
        <v>0</v>
      </c>
      <c r="O9" s="60"/>
      <c r="P9" s="32"/>
      <c r="Q9" s="32"/>
      <c r="R9" s="32"/>
      <c r="S9" s="32">
        <v>0</v>
      </c>
      <c r="T9" s="32">
        <v>0</v>
      </c>
      <c r="U9" s="32"/>
      <c r="V9" s="32">
        <v>0</v>
      </c>
      <c r="W9" s="32">
        <v>0.6</v>
      </c>
      <c r="X9" s="32"/>
      <c r="Y9" s="63">
        <v>0</v>
      </c>
      <c r="Z9" s="63">
        <v>0</v>
      </c>
      <c r="AA9" s="63"/>
      <c r="AB9" s="63">
        <v>0</v>
      </c>
      <c r="AC9" s="63">
        <v>0</v>
      </c>
      <c r="AD9" s="63"/>
      <c r="AE9" s="63">
        <v>0</v>
      </c>
      <c r="AF9" s="63">
        <v>0</v>
      </c>
      <c r="AG9" s="63"/>
      <c r="AH9" s="63">
        <v>0</v>
      </c>
      <c r="AI9" s="63">
        <v>0</v>
      </c>
      <c r="AJ9" s="63"/>
      <c r="AK9" s="63"/>
      <c r="AL9" s="63"/>
      <c r="AM9" s="63"/>
      <c r="AN9" s="63">
        <v>0</v>
      </c>
      <c r="AO9" s="63">
        <v>0</v>
      </c>
      <c r="AP9" s="63"/>
      <c r="AQ9" s="63">
        <v>0</v>
      </c>
      <c r="AR9" s="63">
        <v>0</v>
      </c>
      <c r="AS9" s="63"/>
      <c r="AT9" s="32">
        <v>27.5</v>
      </c>
      <c r="AU9" s="32">
        <v>3.6</v>
      </c>
      <c r="AV9" s="32"/>
      <c r="AW9" s="32">
        <v>0</v>
      </c>
      <c r="AX9" s="32">
        <v>0</v>
      </c>
      <c r="AY9" s="32"/>
      <c r="AZ9" s="32">
        <v>24.6</v>
      </c>
      <c r="BA9" s="32">
        <v>9</v>
      </c>
      <c r="BB9" s="32"/>
      <c r="BC9" s="32">
        <v>0</v>
      </c>
      <c r="BD9" s="32">
        <v>0</v>
      </c>
      <c r="BE9" s="32"/>
      <c r="BF9" s="32">
        <v>0</v>
      </c>
      <c r="BG9" s="32">
        <v>0</v>
      </c>
      <c r="BH9" s="32"/>
      <c r="BI9" s="32">
        <v>0</v>
      </c>
      <c r="BJ9" s="32">
        <v>0</v>
      </c>
      <c r="BK9" s="32"/>
      <c r="BL9" s="32">
        <v>0</v>
      </c>
      <c r="BM9" s="32">
        <v>0</v>
      </c>
      <c r="BN9" s="32"/>
      <c r="BO9" s="32">
        <v>0</v>
      </c>
      <c r="BP9" s="32">
        <v>0</v>
      </c>
      <c r="BQ9" s="32"/>
      <c r="BR9" s="32">
        <v>0</v>
      </c>
      <c r="BS9" s="32">
        <v>0</v>
      </c>
      <c r="BT9" s="32"/>
      <c r="BU9" s="32">
        <v>0</v>
      </c>
      <c r="BV9" s="32">
        <v>0</v>
      </c>
      <c r="BW9" s="32"/>
      <c r="BX9" s="32">
        <v>0</v>
      </c>
      <c r="BY9" s="32">
        <v>0</v>
      </c>
      <c r="BZ9" s="32"/>
      <c r="CA9" s="32">
        <v>0</v>
      </c>
      <c r="CB9" s="32">
        <v>0</v>
      </c>
      <c r="CC9" s="32"/>
      <c r="CD9" s="32">
        <v>0</v>
      </c>
      <c r="CE9" s="32">
        <v>0</v>
      </c>
      <c r="CF9" s="32"/>
      <c r="CG9" s="32">
        <v>0</v>
      </c>
      <c r="CH9" s="32">
        <v>0</v>
      </c>
      <c r="CI9" s="32"/>
      <c r="CJ9" s="32">
        <v>0</v>
      </c>
      <c r="CK9" s="32">
        <v>0</v>
      </c>
      <c r="CL9" s="32"/>
      <c r="CM9" s="32">
        <v>0</v>
      </c>
      <c r="CN9" s="32">
        <v>0</v>
      </c>
      <c r="CO9" s="32"/>
      <c r="CP9" s="32">
        <v>0</v>
      </c>
      <c r="CQ9" s="32">
        <v>0</v>
      </c>
      <c r="CR9" s="32"/>
      <c r="CS9" s="32">
        <v>0</v>
      </c>
      <c r="CT9" s="32">
        <v>3.5</v>
      </c>
      <c r="CU9" s="13"/>
    </row>
    <row r="10" spans="1:99" ht="31.5">
      <c r="A10" s="16" t="s">
        <v>224</v>
      </c>
      <c r="B10" s="19" t="s">
        <v>226</v>
      </c>
      <c r="C10" s="17"/>
      <c r="D10" s="17"/>
      <c r="E10" s="22"/>
      <c r="F10" s="22"/>
      <c r="G10" s="60">
        <v>0</v>
      </c>
      <c r="H10" s="60">
        <v>0</v>
      </c>
      <c r="I10" s="60"/>
      <c r="J10" s="60">
        <v>0</v>
      </c>
      <c r="K10" s="60">
        <v>0</v>
      </c>
      <c r="L10" s="60"/>
      <c r="M10" s="60">
        <v>0</v>
      </c>
      <c r="N10" s="60">
        <v>0</v>
      </c>
      <c r="O10" s="60"/>
      <c r="P10" s="32"/>
      <c r="Q10" s="32"/>
      <c r="R10" s="32"/>
      <c r="S10" s="32">
        <v>16.5</v>
      </c>
      <c r="T10" s="32">
        <v>44.1</v>
      </c>
      <c r="U10" s="32"/>
      <c r="V10" s="32">
        <v>0</v>
      </c>
      <c r="W10" s="32">
        <v>0</v>
      </c>
      <c r="X10" s="32"/>
      <c r="Y10" s="63">
        <v>0</v>
      </c>
      <c r="Z10" s="63">
        <v>0</v>
      </c>
      <c r="AA10" s="63"/>
      <c r="AB10" s="63">
        <v>0</v>
      </c>
      <c r="AC10" s="63">
        <v>0</v>
      </c>
      <c r="AD10" s="63"/>
      <c r="AE10" s="63">
        <v>0</v>
      </c>
      <c r="AF10" s="63">
        <v>0</v>
      </c>
      <c r="AG10" s="63"/>
      <c r="AH10" s="63">
        <v>0</v>
      </c>
      <c r="AI10" s="63">
        <v>0</v>
      </c>
      <c r="AJ10" s="63"/>
      <c r="AK10" s="63"/>
      <c r="AL10" s="63"/>
      <c r="AM10" s="63"/>
      <c r="AN10" s="63">
        <v>0</v>
      </c>
      <c r="AO10" s="63">
        <v>0</v>
      </c>
      <c r="AP10" s="63"/>
      <c r="AQ10" s="63">
        <v>0</v>
      </c>
      <c r="AR10" s="63">
        <v>0</v>
      </c>
      <c r="AS10" s="63"/>
      <c r="AT10" s="32">
        <v>0</v>
      </c>
      <c r="AU10" s="32">
        <v>0</v>
      </c>
      <c r="AV10" s="32"/>
      <c r="AW10" s="32">
        <v>0</v>
      </c>
      <c r="AX10" s="32">
        <v>0</v>
      </c>
      <c r="AY10" s="32"/>
      <c r="AZ10" s="32">
        <v>0</v>
      </c>
      <c r="BA10" s="32">
        <v>0</v>
      </c>
      <c r="BB10" s="32"/>
      <c r="BC10" s="32">
        <v>0</v>
      </c>
      <c r="BD10" s="32">
        <v>0</v>
      </c>
      <c r="BE10" s="32"/>
      <c r="BF10" s="32">
        <v>0</v>
      </c>
      <c r="BG10" s="32">
        <v>0</v>
      </c>
      <c r="BH10" s="32"/>
      <c r="BI10" s="32">
        <v>0</v>
      </c>
      <c r="BJ10" s="32">
        <v>0</v>
      </c>
      <c r="BK10" s="32"/>
      <c r="BL10" s="32">
        <v>0</v>
      </c>
      <c r="BM10" s="32">
        <v>0</v>
      </c>
      <c r="BN10" s="32"/>
      <c r="BO10" s="32">
        <v>0</v>
      </c>
      <c r="BP10" s="32">
        <v>0</v>
      </c>
      <c r="BQ10" s="32"/>
      <c r="BR10" s="32">
        <v>0</v>
      </c>
      <c r="BS10" s="32">
        <v>0</v>
      </c>
      <c r="BT10" s="32"/>
      <c r="BU10" s="32">
        <v>0</v>
      </c>
      <c r="BV10" s="32">
        <v>0</v>
      </c>
      <c r="BW10" s="32"/>
      <c r="BX10" s="32">
        <v>0</v>
      </c>
      <c r="BY10" s="32">
        <v>0</v>
      </c>
      <c r="BZ10" s="32"/>
      <c r="CA10" s="32">
        <v>0</v>
      </c>
      <c r="CB10" s="32">
        <v>0</v>
      </c>
      <c r="CC10" s="32"/>
      <c r="CD10" s="32">
        <v>0</v>
      </c>
      <c r="CE10" s="32">
        <v>0</v>
      </c>
      <c r="CF10" s="32"/>
      <c r="CG10" s="32">
        <v>0</v>
      </c>
      <c r="CH10" s="32">
        <v>0</v>
      </c>
      <c r="CI10" s="32"/>
      <c r="CJ10" s="32">
        <v>0</v>
      </c>
      <c r="CK10" s="32">
        <v>0</v>
      </c>
      <c r="CL10" s="32"/>
      <c r="CM10" s="32">
        <v>0</v>
      </c>
      <c r="CN10" s="32">
        <v>0</v>
      </c>
      <c r="CO10" s="32"/>
      <c r="CP10" s="32">
        <v>0</v>
      </c>
      <c r="CQ10" s="32">
        <v>0</v>
      </c>
      <c r="CR10" s="32"/>
      <c r="CS10" s="32">
        <v>0</v>
      </c>
      <c r="CT10" s="32">
        <v>0</v>
      </c>
      <c r="CU10" s="13"/>
    </row>
    <row r="11" spans="1:99" ht="63">
      <c r="A11" s="16" t="s">
        <v>6</v>
      </c>
      <c r="B11" s="10" t="s">
        <v>181</v>
      </c>
      <c r="C11" s="7" t="s">
        <v>8</v>
      </c>
      <c r="D11" s="9"/>
      <c r="E11" s="13"/>
      <c r="F11" s="13"/>
      <c r="G11" s="32">
        <v>0</v>
      </c>
      <c r="H11" s="32">
        <v>0</v>
      </c>
      <c r="I11" s="32"/>
      <c r="J11" s="32">
        <v>2300</v>
      </c>
      <c r="K11" s="32">
        <v>2700</v>
      </c>
      <c r="L11" s="32"/>
      <c r="M11" s="32">
        <v>0</v>
      </c>
      <c r="N11" s="32">
        <v>0</v>
      </c>
      <c r="O11" s="32"/>
      <c r="P11" s="32"/>
      <c r="Q11" s="32"/>
      <c r="R11" s="32"/>
      <c r="S11" s="32">
        <v>14</v>
      </c>
      <c r="T11" s="32">
        <v>14</v>
      </c>
      <c r="U11" s="32"/>
      <c r="V11" s="32">
        <v>1</v>
      </c>
      <c r="W11" s="32">
        <v>1</v>
      </c>
      <c r="X11" s="32"/>
      <c r="Y11" s="63">
        <v>2</v>
      </c>
      <c r="Z11" s="63">
        <v>2</v>
      </c>
      <c r="AA11" s="63"/>
      <c r="AB11" s="63">
        <v>2</v>
      </c>
      <c r="AC11" s="63">
        <v>2</v>
      </c>
      <c r="AD11" s="63"/>
      <c r="AE11" s="63">
        <v>2</v>
      </c>
      <c r="AF11" s="63">
        <v>2</v>
      </c>
      <c r="AG11" s="63"/>
      <c r="AH11" s="63">
        <v>1</v>
      </c>
      <c r="AI11" s="63">
        <v>1</v>
      </c>
      <c r="AJ11" s="63"/>
      <c r="AK11" s="63"/>
      <c r="AL11" s="63"/>
      <c r="AM11" s="63"/>
      <c r="AN11" s="63">
        <v>2</v>
      </c>
      <c r="AO11" s="63">
        <v>2</v>
      </c>
      <c r="AP11" s="63"/>
      <c r="AQ11" s="63">
        <v>2</v>
      </c>
      <c r="AR11" s="63">
        <v>2</v>
      </c>
      <c r="AS11" s="63"/>
      <c r="AT11" s="32">
        <v>1</v>
      </c>
      <c r="AU11" s="32">
        <v>1</v>
      </c>
      <c r="AV11" s="32"/>
      <c r="AW11" s="32">
        <v>1</v>
      </c>
      <c r="AX11" s="32">
        <v>1</v>
      </c>
      <c r="AY11" s="32"/>
      <c r="AZ11" s="32">
        <v>1</v>
      </c>
      <c r="BA11" s="32">
        <v>1</v>
      </c>
      <c r="BB11" s="32"/>
      <c r="BC11" s="32">
        <v>1</v>
      </c>
      <c r="BD11" s="32">
        <v>1</v>
      </c>
      <c r="BE11" s="32"/>
      <c r="BF11" s="32">
        <v>1</v>
      </c>
      <c r="BG11" s="32">
        <v>1</v>
      </c>
      <c r="BH11" s="32"/>
      <c r="BI11" s="32">
        <v>1</v>
      </c>
      <c r="BJ11" s="32">
        <v>1</v>
      </c>
      <c r="BK11" s="32"/>
      <c r="BL11" s="32">
        <v>1</v>
      </c>
      <c r="BM11" s="32">
        <v>1</v>
      </c>
      <c r="BN11" s="32"/>
      <c r="BO11" s="32">
        <v>1</v>
      </c>
      <c r="BP11" s="32">
        <v>1</v>
      </c>
      <c r="BQ11" s="32"/>
      <c r="BR11" s="32">
        <v>1</v>
      </c>
      <c r="BS11" s="32">
        <v>1</v>
      </c>
      <c r="BT11" s="32"/>
      <c r="BU11" s="32">
        <v>1</v>
      </c>
      <c r="BV11" s="32">
        <v>1</v>
      </c>
      <c r="BW11" s="32"/>
      <c r="BX11" s="32">
        <v>1</v>
      </c>
      <c r="BY11" s="32">
        <v>1</v>
      </c>
      <c r="BZ11" s="32"/>
      <c r="CA11" s="32">
        <v>1</v>
      </c>
      <c r="CB11" s="32">
        <v>1</v>
      </c>
      <c r="CC11" s="32"/>
      <c r="CD11" s="32">
        <v>1</v>
      </c>
      <c r="CE11" s="32">
        <v>1</v>
      </c>
      <c r="CF11" s="32"/>
      <c r="CG11" s="32">
        <v>1</v>
      </c>
      <c r="CH11" s="32">
        <v>1</v>
      </c>
      <c r="CI11" s="32"/>
      <c r="CJ11" s="32">
        <v>1</v>
      </c>
      <c r="CK11" s="32">
        <v>1</v>
      </c>
      <c r="CL11" s="32"/>
      <c r="CM11" s="32">
        <v>1</v>
      </c>
      <c r="CN11" s="32">
        <v>1</v>
      </c>
      <c r="CO11" s="32"/>
      <c r="CP11" s="32">
        <v>2</v>
      </c>
      <c r="CQ11" s="32">
        <v>2</v>
      </c>
      <c r="CR11" s="32"/>
      <c r="CS11" s="32">
        <v>2</v>
      </c>
      <c r="CT11" s="32">
        <v>2</v>
      </c>
      <c r="CU11" s="13"/>
    </row>
    <row r="12" spans="1:99" ht="62.25" customHeight="1">
      <c r="A12" s="16" t="s">
        <v>7</v>
      </c>
      <c r="B12" s="10" t="s">
        <v>182</v>
      </c>
      <c r="C12" s="7" t="s">
        <v>8</v>
      </c>
      <c r="D12" s="9"/>
      <c r="E12" s="13"/>
      <c r="F12" s="13"/>
      <c r="G12" s="32">
        <v>0</v>
      </c>
      <c r="H12" s="32">
        <v>0</v>
      </c>
      <c r="I12" s="32"/>
      <c r="J12" s="32">
        <v>0</v>
      </c>
      <c r="K12" s="32">
        <v>0</v>
      </c>
      <c r="L12" s="32"/>
      <c r="M12" s="32">
        <v>0</v>
      </c>
      <c r="N12" s="32">
        <v>0</v>
      </c>
      <c r="O12" s="32"/>
      <c r="P12" s="32"/>
      <c r="Q12" s="32"/>
      <c r="R12" s="32"/>
      <c r="S12" s="32">
        <v>0</v>
      </c>
      <c r="T12" s="32">
        <v>1</v>
      </c>
      <c r="U12" s="32"/>
      <c r="V12" s="32">
        <v>0</v>
      </c>
      <c r="W12" s="32">
        <v>0</v>
      </c>
      <c r="X12" s="32"/>
      <c r="Y12" s="63">
        <v>0</v>
      </c>
      <c r="Z12" s="63">
        <v>0</v>
      </c>
      <c r="AA12" s="63"/>
      <c r="AB12" s="63">
        <v>0</v>
      </c>
      <c r="AC12" s="63">
        <v>0</v>
      </c>
      <c r="AD12" s="63"/>
      <c r="AE12" s="63">
        <v>0</v>
      </c>
      <c r="AF12" s="63">
        <v>0</v>
      </c>
      <c r="AG12" s="63"/>
      <c r="AH12" s="63">
        <v>0</v>
      </c>
      <c r="AI12" s="63">
        <v>0</v>
      </c>
      <c r="AJ12" s="63"/>
      <c r="AK12" s="63"/>
      <c r="AL12" s="63"/>
      <c r="AM12" s="63"/>
      <c r="AN12" s="63">
        <v>0</v>
      </c>
      <c r="AO12" s="63">
        <v>0</v>
      </c>
      <c r="AP12" s="63"/>
      <c r="AQ12" s="63">
        <v>0</v>
      </c>
      <c r="AR12" s="63">
        <v>1</v>
      </c>
      <c r="AS12" s="63"/>
      <c r="AT12" s="32">
        <v>0</v>
      </c>
      <c r="AU12" s="32">
        <v>0</v>
      </c>
      <c r="AV12" s="32"/>
      <c r="AW12" s="32">
        <v>0</v>
      </c>
      <c r="AX12" s="32">
        <v>0</v>
      </c>
      <c r="AY12" s="32"/>
      <c r="AZ12" s="32">
        <v>0</v>
      </c>
      <c r="BA12" s="32">
        <v>0</v>
      </c>
      <c r="BB12" s="32"/>
      <c r="BC12" s="32">
        <v>0</v>
      </c>
      <c r="BD12" s="32">
        <v>0</v>
      </c>
      <c r="BE12" s="32"/>
      <c r="BF12" s="32">
        <v>0</v>
      </c>
      <c r="BG12" s="32">
        <v>0</v>
      </c>
      <c r="BH12" s="32"/>
      <c r="BI12" s="32">
        <v>0</v>
      </c>
      <c r="BJ12" s="32">
        <v>0</v>
      </c>
      <c r="BK12" s="32"/>
      <c r="BL12" s="32">
        <v>0</v>
      </c>
      <c r="BM12" s="32">
        <v>0</v>
      </c>
      <c r="BN12" s="32"/>
      <c r="BO12" s="32">
        <v>0</v>
      </c>
      <c r="BP12" s="32">
        <v>0</v>
      </c>
      <c r="BQ12" s="32"/>
      <c r="BR12" s="32">
        <v>0</v>
      </c>
      <c r="BS12" s="32">
        <v>0</v>
      </c>
      <c r="BT12" s="32"/>
      <c r="BU12" s="32">
        <v>0</v>
      </c>
      <c r="BV12" s="32">
        <v>0</v>
      </c>
      <c r="BW12" s="32"/>
      <c r="BX12" s="32">
        <v>0</v>
      </c>
      <c r="BY12" s="32">
        <v>0</v>
      </c>
      <c r="BZ12" s="32"/>
      <c r="CA12" s="32">
        <v>0</v>
      </c>
      <c r="CB12" s="32">
        <v>0</v>
      </c>
      <c r="CC12" s="32"/>
      <c r="CD12" s="32">
        <v>0</v>
      </c>
      <c r="CE12" s="32">
        <v>0</v>
      </c>
      <c r="CF12" s="32"/>
      <c r="CG12" s="32">
        <v>0</v>
      </c>
      <c r="CH12" s="32">
        <v>0</v>
      </c>
      <c r="CI12" s="32"/>
      <c r="CJ12" s="32">
        <v>0</v>
      </c>
      <c r="CK12" s="32">
        <v>0</v>
      </c>
      <c r="CL12" s="32"/>
      <c r="CM12" s="32">
        <v>0</v>
      </c>
      <c r="CN12" s="32">
        <v>0</v>
      </c>
      <c r="CO12" s="32"/>
      <c r="CP12" s="32">
        <v>0</v>
      </c>
      <c r="CQ12" s="32">
        <v>0</v>
      </c>
      <c r="CR12" s="32"/>
      <c r="CS12" s="32">
        <v>0</v>
      </c>
      <c r="CT12" s="32">
        <v>0</v>
      </c>
      <c r="CU12" s="13"/>
    </row>
    <row r="13" spans="1:99" ht="63">
      <c r="A13" s="16" t="s">
        <v>9</v>
      </c>
      <c r="B13" s="10" t="s">
        <v>227</v>
      </c>
      <c r="C13" s="18" t="s">
        <v>17</v>
      </c>
      <c r="D13" s="17"/>
      <c r="E13" s="22"/>
      <c r="F13" s="22"/>
      <c r="G13" s="37" t="e">
        <f>G12/G11*100</f>
        <v>#DIV/0!</v>
      </c>
      <c r="H13" s="37" t="e">
        <f>H12/H11*100</f>
        <v>#DIV/0!</v>
      </c>
      <c r="I13" s="37"/>
      <c r="J13" s="37">
        <f>J12/J11*100</f>
        <v>0</v>
      </c>
      <c r="K13" s="37">
        <f>K12/K11*100</f>
        <v>0</v>
      </c>
      <c r="L13" s="37"/>
      <c r="M13" s="37">
        <v>0</v>
      </c>
      <c r="N13" s="37">
        <v>0</v>
      </c>
      <c r="O13" s="37"/>
      <c r="P13" s="37" t="e">
        <f aca="true" t="shared" si="0" ref="P13:CH13">P12/P11*100</f>
        <v>#DIV/0!</v>
      </c>
      <c r="Q13" s="37" t="e">
        <f t="shared" si="0"/>
        <v>#DIV/0!</v>
      </c>
      <c r="R13" s="37"/>
      <c r="S13" s="37">
        <f t="shared" si="0"/>
        <v>0</v>
      </c>
      <c r="T13" s="37">
        <f t="shared" si="0"/>
        <v>7.142857142857142</v>
      </c>
      <c r="U13" s="37"/>
      <c r="V13" s="37">
        <f t="shared" si="0"/>
        <v>0</v>
      </c>
      <c r="W13" s="37">
        <f t="shared" si="0"/>
        <v>0</v>
      </c>
      <c r="X13" s="37"/>
      <c r="Y13" s="37">
        <f t="shared" si="0"/>
        <v>0</v>
      </c>
      <c r="Z13" s="37">
        <f t="shared" si="0"/>
        <v>0</v>
      </c>
      <c r="AA13" s="37"/>
      <c r="AB13" s="37">
        <f t="shared" si="0"/>
        <v>0</v>
      </c>
      <c r="AC13" s="37">
        <f t="shared" si="0"/>
        <v>0</v>
      </c>
      <c r="AD13" s="37"/>
      <c r="AE13" s="37">
        <f t="shared" si="0"/>
        <v>0</v>
      </c>
      <c r="AF13" s="37">
        <f t="shared" si="0"/>
        <v>0</v>
      </c>
      <c r="AG13" s="37"/>
      <c r="AH13" s="37">
        <f t="shared" si="0"/>
        <v>0</v>
      </c>
      <c r="AI13" s="37">
        <f t="shared" si="0"/>
        <v>0</v>
      </c>
      <c r="AJ13" s="37"/>
      <c r="AK13" s="37" t="e">
        <f t="shared" si="0"/>
        <v>#DIV/0!</v>
      </c>
      <c r="AL13" s="37" t="e">
        <f t="shared" si="0"/>
        <v>#DIV/0!</v>
      </c>
      <c r="AM13" s="37"/>
      <c r="AN13" s="37">
        <f t="shared" si="0"/>
        <v>0</v>
      </c>
      <c r="AO13" s="37">
        <f t="shared" si="0"/>
        <v>0</v>
      </c>
      <c r="AP13" s="37"/>
      <c r="AQ13" s="37">
        <f t="shared" si="0"/>
        <v>0</v>
      </c>
      <c r="AR13" s="37">
        <f t="shared" si="0"/>
        <v>50</v>
      </c>
      <c r="AS13" s="37"/>
      <c r="AT13" s="37">
        <f t="shared" si="0"/>
        <v>0</v>
      </c>
      <c r="AU13" s="37">
        <f t="shared" si="0"/>
        <v>0</v>
      </c>
      <c r="AV13" s="37"/>
      <c r="AW13" s="37">
        <f t="shared" si="0"/>
        <v>0</v>
      </c>
      <c r="AX13" s="37">
        <f t="shared" si="0"/>
        <v>0</v>
      </c>
      <c r="AY13" s="37"/>
      <c r="AZ13" s="37">
        <f t="shared" si="0"/>
        <v>0</v>
      </c>
      <c r="BA13" s="37">
        <f t="shared" si="0"/>
        <v>0</v>
      </c>
      <c r="BB13" s="37"/>
      <c r="BC13" s="37">
        <f t="shared" si="0"/>
        <v>0</v>
      </c>
      <c r="BD13" s="37">
        <f t="shared" si="0"/>
        <v>0</v>
      </c>
      <c r="BE13" s="37"/>
      <c r="BF13" s="37">
        <f t="shared" si="0"/>
        <v>0</v>
      </c>
      <c r="BG13" s="37">
        <f t="shared" si="0"/>
        <v>0</v>
      </c>
      <c r="BH13" s="37"/>
      <c r="BI13" s="37">
        <f t="shared" si="0"/>
        <v>0</v>
      </c>
      <c r="BJ13" s="37">
        <f t="shared" si="0"/>
        <v>0</v>
      </c>
      <c r="BK13" s="37"/>
      <c r="BL13" s="37">
        <f t="shared" si="0"/>
        <v>0</v>
      </c>
      <c r="BM13" s="37">
        <f t="shared" si="0"/>
        <v>0</v>
      </c>
      <c r="BN13" s="37"/>
      <c r="BO13" s="37">
        <f t="shared" si="0"/>
        <v>0</v>
      </c>
      <c r="BP13" s="37">
        <f t="shared" si="0"/>
        <v>0</v>
      </c>
      <c r="BQ13" s="37"/>
      <c r="BR13" s="37">
        <f t="shared" si="0"/>
        <v>0</v>
      </c>
      <c r="BS13" s="37">
        <f t="shared" si="0"/>
        <v>0</v>
      </c>
      <c r="BT13" s="37"/>
      <c r="BU13" s="37">
        <f t="shared" si="0"/>
        <v>0</v>
      </c>
      <c r="BV13" s="37">
        <f t="shared" si="0"/>
        <v>0</v>
      </c>
      <c r="BW13" s="37"/>
      <c r="BX13" s="37">
        <f t="shared" si="0"/>
        <v>0</v>
      </c>
      <c r="BY13" s="37">
        <f t="shared" si="0"/>
        <v>0</v>
      </c>
      <c r="BZ13" s="37"/>
      <c r="CA13" s="37">
        <f t="shared" si="0"/>
        <v>0</v>
      </c>
      <c r="CB13" s="37">
        <f t="shared" si="0"/>
        <v>0</v>
      </c>
      <c r="CC13" s="37"/>
      <c r="CD13" s="37">
        <f t="shared" si="0"/>
        <v>0</v>
      </c>
      <c r="CE13" s="37">
        <f t="shared" si="0"/>
        <v>0</v>
      </c>
      <c r="CF13" s="37"/>
      <c r="CG13" s="37">
        <f t="shared" si="0"/>
        <v>0</v>
      </c>
      <c r="CH13" s="37">
        <f t="shared" si="0"/>
        <v>0</v>
      </c>
      <c r="CI13" s="37"/>
      <c r="CJ13" s="37">
        <f aca="true" t="shared" si="1" ref="CJ13:CT13">CJ12/CJ11*100</f>
        <v>0</v>
      </c>
      <c r="CK13" s="37">
        <f t="shared" si="1"/>
        <v>0</v>
      </c>
      <c r="CL13" s="37"/>
      <c r="CM13" s="37">
        <f t="shared" si="1"/>
        <v>0</v>
      </c>
      <c r="CN13" s="37">
        <f t="shared" si="1"/>
        <v>0</v>
      </c>
      <c r="CO13" s="37"/>
      <c r="CP13" s="37">
        <f t="shared" si="1"/>
        <v>0</v>
      </c>
      <c r="CQ13" s="37">
        <f t="shared" si="1"/>
        <v>0</v>
      </c>
      <c r="CR13" s="37"/>
      <c r="CS13" s="37">
        <f t="shared" si="1"/>
        <v>0</v>
      </c>
      <c r="CT13" s="37">
        <f t="shared" si="1"/>
        <v>0</v>
      </c>
      <c r="CU13" s="13"/>
    </row>
    <row r="14" spans="1:99" ht="31.5">
      <c r="A14" s="21" t="s">
        <v>11</v>
      </c>
      <c r="B14" s="10" t="s">
        <v>183</v>
      </c>
      <c r="C14" s="7" t="s">
        <v>4</v>
      </c>
      <c r="D14" s="13"/>
      <c r="E14" s="13"/>
      <c r="F14" s="13"/>
      <c r="G14" s="32">
        <v>1241.7</v>
      </c>
      <c r="H14" s="32">
        <v>1876.1</v>
      </c>
      <c r="I14" s="32"/>
      <c r="J14" s="37">
        <v>126495.9</v>
      </c>
      <c r="K14" s="37">
        <v>157041.9</v>
      </c>
      <c r="L14" s="37"/>
      <c r="M14" s="32">
        <v>4581.1</v>
      </c>
      <c r="N14" s="32">
        <v>5742.1</v>
      </c>
      <c r="O14" s="32"/>
      <c r="P14" s="32"/>
      <c r="Q14" s="32"/>
      <c r="R14" s="32"/>
      <c r="S14" s="32">
        <v>6685.1</v>
      </c>
      <c r="T14" s="32">
        <v>6964.8</v>
      </c>
      <c r="U14" s="32"/>
      <c r="V14" s="32">
        <v>5281.3</v>
      </c>
      <c r="W14" s="32">
        <v>5644.4</v>
      </c>
      <c r="X14" s="32"/>
      <c r="Y14" s="63">
        <v>36566.6</v>
      </c>
      <c r="Z14" s="63">
        <v>26595.6</v>
      </c>
      <c r="AA14" s="63"/>
      <c r="AB14" s="63">
        <v>31056.8</v>
      </c>
      <c r="AC14" s="63">
        <v>38244.3</v>
      </c>
      <c r="AD14" s="63"/>
      <c r="AE14" s="63">
        <v>18991.6</v>
      </c>
      <c r="AF14" s="63">
        <v>22618.9</v>
      </c>
      <c r="AG14" s="63"/>
      <c r="AH14" s="63">
        <v>19152.6</v>
      </c>
      <c r="AI14" s="63">
        <v>28483.8</v>
      </c>
      <c r="AJ14" s="63"/>
      <c r="AK14" s="63"/>
      <c r="AL14" s="63"/>
      <c r="AM14" s="63"/>
      <c r="AN14" s="63">
        <v>20762.5</v>
      </c>
      <c r="AO14" s="63">
        <v>24767.3</v>
      </c>
      <c r="AP14" s="63"/>
      <c r="AQ14" s="63">
        <v>2609.9</v>
      </c>
      <c r="AR14" s="63">
        <v>2994.7</v>
      </c>
      <c r="AS14" s="63"/>
      <c r="AT14" s="32">
        <v>19962</v>
      </c>
      <c r="AU14" s="32">
        <v>34565</v>
      </c>
      <c r="AV14" s="32"/>
      <c r="AW14" s="32">
        <v>10118.2</v>
      </c>
      <c r="AX14" s="32">
        <v>11874.8</v>
      </c>
      <c r="AY14" s="32"/>
      <c r="AZ14" s="32">
        <v>8888.8</v>
      </c>
      <c r="BA14" s="32">
        <v>9949.7</v>
      </c>
      <c r="BB14" s="32"/>
      <c r="BC14" s="32">
        <v>6952.9</v>
      </c>
      <c r="BD14" s="32">
        <v>9326.9</v>
      </c>
      <c r="BE14" s="32"/>
      <c r="BF14" s="32">
        <v>4754.1</v>
      </c>
      <c r="BG14" s="32">
        <v>6347.9</v>
      </c>
      <c r="BH14" s="32"/>
      <c r="BI14" s="32">
        <v>3857.3</v>
      </c>
      <c r="BJ14" s="32">
        <v>4723.9</v>
      </c>
      <c r="BK14" s="32"/>
      <c r="BL14" s="32">
        <v>8281</v>
      </c>
      <c r="BM14" s="32">
        <v>10364</v>
      </c>
      <c r="BN14" s="32"/>
      <c r="BO14" s="32">
        <v>6542.5</v>
      </c>
      <c r="BP14" s="32">
        <v>8250.1</v>
      </c>
      <c r="BQ14" s="32"/>
      <c r="BR14" s="32">
        <v>12322.7</v>
      </c>
      <c r="BS14" s="32">
        <v>16433.9</v>
      </c>
      <c r="BT14" s="32"/>
      <c r="BU14" s="32">
        <v>5763.8</v>
      </c>
      <c r="BV14" s="32">
        <v>24694.7</v>
      </c>
      <c r="BW14" s="32"/>
      <c r="BX14" s="32">
        <v>6480.8</v>
      </c>
      <c r="BY14" s="32">
        <v>7489.8</v>
      </c>
      <c r="BZ14" s="32"/>
      <c r="CA14" s="32">
        <v>9559.2</v>
      </c>
      <c r="CB14" s="32">
        <v>13296.1</v>
      </c>
      <c r="CC14" s="32"/>
      <c r="CD14" s="32">
        <v>6115.4</v>
      </c>
      <c r="CE14" s="32">
        <v>7329.6</v>
      </c>
      <c r="CF14" s="32"/>
      <c r="CG14" s="32">
        <v>6032.8</v>
      </c>
      <c r="CH14" s="32">
        <v>7433.9</v>
      </c>
      <c r="CI14" s="32"/>
      <c r="CJ14" s="32">
        <v>13370.9</v>
      </c>
      <c r="CK14" s="32">
        <v>18868.9</v>
      </c>
      <c r="CL14" s="32"/>
      <c r="CM14" s="32">
        <v>11515.4</v>
      </c>
      <c r="CN14" s="32">
        <v>14886.5</v>
      </c>
      <c r="CO14" s="32"/>
      <c r="CP14" s="32">
        <v>2345.8</v>
      </c>
      <c r="CQ14" s="32">
        <v>2799.3</v>
      </c>
      <c r="CR14" s="32"/>
      <c r="CS14" s="32">
        <v>2170.3</v>
      </c>
      <c r="CT14" s="32">
        <v>2724.4</v>
      </c>
      <c r="CU14" s="13"/>
    </row>
    <row r="15" spans="1:99" ht="31.5">
      <c r="A15" s="21" t="s">
        <v>112</v>
      </c>
      <c r="B15" s="19" t="s">
        <v>228</v>
      </c>
      <c r="C15" s="17" t="s">
        <v>4</v>
      </c>
      <c r="D15" s="22"/>
      <c r="E15" s="22"/>
      <c r="F15" s="22"/>
      <c r="G15" s="60">
        <v>0</v>
      </c>
      <c r="H15" s="60">
        <v>0</v>
      </c>
      <c r="I15" s="60"/>
      <c r="J15" s="61">
        <v>86844.5</v>
      </c>
      <c r="K15" s="61">
        <v>8992.9</v>
      </c>
      <c r="L15" s="61"/>
      <c r="M15" s="60">
        <v>76.2</v>
      </c>
      <c r="N15" s="60">
        <v>98.1</v>
      </c>
      <c r="O15" s="60"/>
      <c r="P15" s="32"/>
      <c r="Q15" s="32"/>
      <c r="R15" s="32"/>
      <c r="S15" s="32">
        <v>391.6</v>
      </c>
      <c r="T15" s="32">
        <v>350.7</v>
      </c>
      <c r="U15" s="32"/>
      <c r="V15" s="32">
        <v>140.9</v>
      </c>
      <c r="W15" s="32">
        <v>140.6</v>
      </c>
      <c r="X15" s="32"/>
      <c r="Y15" s="63">
        <v>2257.5</v>
      </c>
      <c r="Z15" s="63">
        <v>1314.8</v>
      </c>
      <c r="AA15" s="63"/>
      <c r="AB15" s="63">
        <v>456.1</v>
      </c>
      <c r="AC15" s="63">
        <v>1060.1</v>
      </c>
      <c r="AD15" s="63"/>
      <c r="AE15" s="63">
        <v>491.7</v>
      </c>
      <c r="AF15" s="63">
        <v>1010</v>
      </c>
      <c r="AG15" s="63"/>
      <c r="AH15" s="63">
        <v>848.9</v>
      </c>
      <c r="AI15" s="63">
        <v>1367.1</v>
      </c>
      <c r="AJ15" s="63"/>
      <c r="AK15" s="63"/>
      <c r="AL15" s="63"/>
      <c r="AM15" s="63"/>
      <c r="AN15" s="63">
        <v>850</v>
      </c>
      <c r="AO15" s="63">
        <v>914.8</v>
      </c>
      <c r="AP15" s="63"/>
      <c r="AQ15" s="63">
        <v>75.6</v>
      </c>
      <c r="AR15" s="63">
        <v>104.5</v>
      </c>
      <c r="AS15" s="63"/>
      <c r="AT15" s="32">
        <v>671.7</v>
      </c>
      <c r="AU15" s="32">
        <v>606.6</v>
      </c>
      <c r="AV15" s="32"/>
      <c r="AW15" s="32">
        <v>24.4</v>
      </c>
      <c r="AX15" s="32">
        <v>117.8</v>
      </c>
      <c r="AY15" s="32"/>
      <c r="AZ15" s="32">
        <v>239.9</v>
      </c>
      <c r="BA15" s="32">
        <v>176.1</v>
      </c>
      <c r="BB15" s="32"/>
      <c r="BC15" s="32">
        <v>108.1</v>
      </c>
      <c r="BD15" s="32">
        <v>216.3</v>
      </c>
      <c r="BE15" s="32"/>
      <c r="BF15" s="32">
        <v>97.9</v>
      </c>
      <c r="BG15" s="32">
        <v>129.4</v>
      </c>
      <c r="BH15" s="32"/>
      <c r="BI15" s="32">
        <v>70.2</v>
      </c>
      <c r="BJ15" s="32">
        <v>168.7</v>
      </c>
      <c r="BK15" s="32"/>
      <c r="BL15" s="32">
        <v>163.8</v>
      </c>
      <c r="BM15" s="32">
        <v>141.9</v>
      </c>
      <c r="BN15" s="32"/>
      <c r="BO15" s="32">
        <v>136.6</v>
      </c>
      <c r="BP15" s="32">
        <v>120.8</v>
      </c>
      <c r="BQ15" s="32"/>
      <c r="BR15" s="32">
        <v>71.4</v>
      </c>
      <c r="BS15" s="32">
        <v>894.7</v>
      </c>
      <c r="BT15" s="32"/>
      <c r="BU15" s="32">
        <v>145.8</v>
      </c>
      <c r="BV15" s="32">
        <v>3179.8</v>
      </c>
      <c r="BW15" s="32"/>
      <c r="BX15" s="32">
        <v>45</v>
      </c>
      <c r="BY15" s="32">
        <v>204.5</v>
      </c>
      <c r="BZ15" s="32"/>
      <c r="CA15" s="32">
        <v>84.6</v>
      </c>
      <c r="CB15" s="32">
        <v>727.1</v>
      </c>
      <c r="CC15" s="32"/>
      <c r="CD15" s="32">
        <v>56.6</v>
      </c>
      <c r="CE15" s="32">
        <v>213.6</v>
      </c>
      <c r="CF15" s="32"/>
      <c r="CG15" s="32">
        <v>77.1</v>
      </c>
      <c r="CH15" s="32">
        <v>156.5</v>
      </c>
      <c r="CI15" s="32"/>
      <c r="CJ15" s="32">
        <v>785.5</v>
      </c>
      <c r="CK15" s="32">
        <v>598.3</v>
      </c>
      <c r="CL15" s="32"/>
      <c r="CM15" s="32">
        <v>85.5</v>
      </c>
      <c r="CN15" s="32">
        <v>767</v>
      </c>
      <c r="CO15" s="32"/>
      <c r="CP15" s="32">
        <v>11</v>
      </c>
      <c r="CQ15" s="32">
        <v>29</v>
      </c>
      <c r="CR15" s="32"/>
      <c r="CS15" s="32">
        <v>17.6</v>
      </c>
      <c r="CT15" s="32">
        <v>45.2</v>
      </c>
      <c r="CU15" s="13"/>
    </row>
    <row r="16" spans="1:99" ht="31.5">
      <c r="A16" s="21" t="s">
        <v>114</v>
      </c>
      <c r="B16" s="14" t="s">
        <v>184</v>
      </c>
      <c r="C16" s="7" t="s">
        <v>4</v>
      </c>
      <c r="D16" s="13"/>
      <c r="E16" s="13"/>
      <c r="F16" s="13"/>
      <c r="G16" s="32">
        <v>1080.1</v>
      </c>
      <c r="H16" s="32">
        <v>1588.1</v>
      </c>
      <c r="I16" s="32"/>
      <c r="J16" s="37">
        <v>14176.7</v>
      </c>
      <c r="K16" s="37">
        <v>15636.1</v>
      </c>
      <c r="L16" s="37"/>
      <c r="M16" s="32">
        <v>3235.7</v>
      </c>
      <c r="N16" s="32">
        <v>3264.3</v>
      </c>
      <c r="O16" s="32"/>
      <c r="P16" s="32"/>
      <c r="Q16" s="32"/>
      <c r="R16" s="32"/>
      <c r="S16" s="32">
        <v>3695.5</v>
      </c>
      <c r="T16" s="32">
        <v>3954.9</v>
      </c>
      <c r="U16" s="32"/>
      <c r="V16" s="32">
        <v>3976.1</v>
      </c>
      <c r="W16" s="32">
        <v>3998.4</v>
      </c>
      <c r="X16" s="32"/>
      <c r="Y16" s="63">
        <v>17982.4</v>
      </c>
      <c r="Z16" s="63">
        <v>21897.6</v>
      </c>
      <c r="AA16" s="63"/>
      <c r="AB16" s="63">
        <v>15952</v>
      </c>
      <c r="AC16" s="63">
        <v>21645.2</v>
      </c>
      <c r="AD16" s="63"/>
      <c r="AE16" s="63">
        <v>12667.5</v>
      </c>
      <c r="AF16" s="63">
        <v>14579.3</v>
      </c>
      <c r="AG16" s="63"/>
      <c r="AH16" s="63">
        <v>15170.9</v>
      </c>
      <c r="AI16" s="63">
        <v>18926.3</v>
      </c>
      <c r="AJ16" s="63"/>
      <c r="AK16" s="63"/>
      <c r="AL16" s="63"/>
      <c r="AM16" s="63"/>
      <c r="AN16" s="63">
        <v>15085.2</v>
      </c>
      <c r="AO16" s="63">
        <v>17855.7</v>
      </c>
      <c r="AP16" s="63"/>
      <c r="AQ16" s="63">
        <v>1899.2</v>
      </c>
      <c r="AR16" s="63">
        <v>2355.1</v>
      </c>
      <c r="AS16" s="63"/>
      <c r="AT16" s="32">
        <v>11783.3</v>
      </c>
      <c r="AU16" s="32">
        <v>12951.3</v>
      </c>
      <c r="AV16" s="32"/>
      <c r="AW16" s="32">
        <v>8812.7</v>
      </c>
      <c r="AX16" s="32">
        <v>10539.7</v>
      </c>
      <c r="AY16" s="32"/>
      <c r="AZ16" s="32">
        <v>6564.4</v>
      </c>
      <c r="BA16" s="32">
        <v>7523.9</v>
      </c>
      <c r="BB16" s="32"/>
      <c r="BC16" s="32">
        <v>3968.1</v>
      </c>
      <c r="BD16" s="32">
        <v>4461.9</v>
      </c>
      <c r="BE16" s="32"/>
      <c r="BF16" s="32">
        <v>2923.3</v>
      </c>
      <c r="BG16" s="32">
        <v>3190</v>
      </c>
      <c r="BH16" s="32"/>
      <c r="BI16" s="32">
        <v>2308</v>
      </c>
      <c r="BJ16" s="32">
        <v>2607.8</v>
      </c>
      <c r="BK16" s="32"/>
      <c r="BL16" s="32">
        <v>5237.7</v>
      </c>
      <c r="BM16" s="32">
        <v>6047</v>
      </c>
      <c r="BN16" s="32"/>
      <c r="BO16" s="32">
        <v>3941.6</v>
      </c>
      <c r="BP16" s="32">
        <v>4375.7</v>
      </c>
      <c r="BQ16" s="32"/>
      <c r="BR16" s="32">
        <v>8467</v>
      </c>
      <c r="BS16" s="32">
        <v>9996.9</v>
      </c>
      <c r="BT16" s="32"/>
      <c r="BU16" s="32">
        <v>3332</v>
      </c>
      <c r="BV16" s="32">
        <v>3743.5</v>
      </c>
      <c r="BW16" s="32"/>
      <c r="BX16" s="32">
        <v>3832.5</v>
      </c>
      <c r="BY16" s="32">
        <v>4306.9</v>
      </c>
      <c r="BZ16" s="32"/>
      <c r="CA16" s="32">
        <v>6324.7</v>
      </c>
      <c r="CB16" s="32">
        <v>7371.8</v>
      </c>
      <c r="CC16" s="32"/>
      <c r="CD16" s="32">
        <v>3630.6</v>
      </c>
      <c r="CE16" s="32">
        <v>4178.7</v>
      </c>
      <c r="CF16" s="32"/>
      <c r="CG16" s="32">
        <v>3776.3</v>
      </c>
      <c r="CH16" s="32">
        <v>4229.5</v>
      </c>
      <c r="CI16" s="32"/>
      <c r="CJ16" s="32">
        <v>7656.9</v>
      </c>
      <c r="CK16" s="32">
        <v>10907.6</v>
      </c>
      <c r="CL16" s="32"/>
      <c r="CM16" s="32">
        <v>6517.5</v>
      </c>
      <c r="CN16" s="32">
        <v>7476.7</v>
      </c>
      <c r="CO16" s="32"/>
      <c r="CP16" s="32">
        <v>1866.4</v>
      </c>
      <c r="CQ16" s="32">
        <v>2136.6</v>
      </c>
      <c r="CR16" s="32"/>
      <c r="CS16" s="32">
        <v>1660.8</v>
      </c>
      <c r="CT16" s="32">
        <v>1920.7</v>
      </c>
      <c r="CU16" s="13"/>
    </row>
    <row r="17" spans="1:99" ht="31.5">
      <c r="A17" s="21" t="s">
        <v>12</v>
      </c>
      <c r="B17" s="10" t="s">
        <v>185</v>
      </c>
      <c r="C17" s="7" t="s">
        <v>4</v>
      </c>
      <c r="D17" s="13"/>
      <c r="E17" s="13"/>
      <c r="F17" s="13"/>
      <c r="G17" s="32">
        <v>0</v>
      </c>
      <c r="H17" s="32">
        <v>0</v>
      </c>
      <c r="I17" s="32"/>
      <c r="J17" s="37">
        <v>108694.9</v>
      </c>
      <c r="K17" s="37">
        <v>58782.7</v>
      </c>
      <c r="L17" s="37"/>
      <c r="M17" s="32">
        <v>0</v>
      </c>
      <c r="N17" s="32">
        <v>2216.2</v>
      </c>
      <c r="O17" s="32"/>
      <c r="P17" s="32"/>
      <c r="Q17" s="32"/>
      <c r="R17" s="32"/>
      <c r="S17" s="32">
        <v>6685.1</v>
      </c>
      <c r="T17" s="32">
        <v>6964.8</v>
      </c>
      <c r="U17" s="32"/>
      <c r="V17" s="32">
        <v>5181.3</v>
      </c>
      <c r="W17" s="32">
        <v>5544.3</v>
      </c>
      <c r="X17" s="32"/>
      <c r="Y17" s="63">
        <v>17459.8</v>
      </c>
      <c r="Z17" s="63">
        <v>25558</v>
      </c>
      <c r="AA17" s="63"/>
      <c r="AB17" s="63">
        <v>15.7</v>
      </c>
      <c r="AC17" s="63">
        <v>181</v>
      </c>
      <c r="AD17" s="63"/>
      <c r="AE17" s="63">
        <v>18688.3</v>
      </c>
      <c r="AF17" s="63">
        <v>22385.5</v>
      </c>
      <c r="AG17" s="63"/>
      <c r="AH17" s="63">
        <v>3164.5</v>
      </c>
      <c r="AI17" s="63">
        <v>24896.7</v>
      </c>
      <c r="AJ17" s="63"/>
      <c r="AK17" s="63"/>
      <c r="AL17" s="63"/>
      <c r="AM17" s="63"/>
      <c r="AN17" s="63">
        <v>4954.6</v>
      </c>
      <c r="AO17" s="63">
        <v>23533.9</v>
      </c>
      <c r="AP17" s="63"/>
      <c r="AQ17" s="63">
        <v>40.4</v>
      </c>
      <c r="AR17" s="63">
        <v>25</v>
      </c>
      <c r="AS17" s="63"/>
      <c r="AT17" s="32">
        <v>19962</v>
      </c>
      <c r="AU17" s="32">
        <v>34565</v>
      </c>
      <c r="AV17" s="32"/>
      <c r="AW17" s="32">
        <v>10064.2</v>
      </c>
      <c r="AX17" s="32">
        <v>11831.6</v>
      </c>
      <c r="AY17" s="32"/>
      <c r="AZ17" s="32">
        <v>8554.5</v>
      </c>
      <c r="BA17" s="32">
        <v>9949.7</v>
      </c>
      <c r="BB17" s="32"/>
      <c r="BC17" s="32">
        <v>3860</v>
      </c>
      <c r="BD17" s="32">
        <v>9301.9</v>
      </c>
      <c r="BE17" s="32"/>
      <c r="BF17" s="32">
        <v>4700.1</v>
      </c>
      <c r="BG17" s="32">
        <v>6287.9</v>
      </c>
      <c r="BH17" s="32"/>
      <c r="BI17" s="32">
        <v>3811.6</v>
      </c>
      <c r="BJ17" s="32">
        <v>4698.9</v>
      </c>
      <c r="BK17" s="32"/>
      <c r="BL17" s="32">
        <v>8164.4</v>
      </c>
      <c r="BM17" s="32">
        <v>10344</v>
      </c>
      <c r="BN17" s="32"/>
      <c r="BO17" s="32">
        <v>6463.9</v>
      </c>
      <c r="BP17" s="32">
        <v>8250.1</v>
      </c>
      <c r="BQ17" s="32"/>
      <c r="BR17" s="32">
        <v>12007.6</v>
      </c>
      <c r="BS17" s="32">
        <v>16309.9</v>
      </c>
      <c r="BT17" s="32"/>
      <c r="BU17" s="32">
        <v>5702.3</v>
      </c>
      <c r="BV17" s="32">
        <v>24297.5</v>
      </c>
      <c r="BW17" s="32"/>
      <c r="BX17" s="32">
        <v>6385</v>
      </c>
      <c r="BY17" s="32">
        <v>7479.8</v>
      </c>
      <c r="BZ17" s="32"/>
      <c r="CA17" s="32">
        <v>9377.8</v>
      </c>
      <c r="CB17" s="32">
        <v>13172.1</v>
      </c>
      <c r="CC17" s="32"/>
      <c r="CD17" s="32">
        <v>6038.5</v>
      </c>
      <c r="CE17" s="32">
        <v>7314.6</v>
      </c>
      <c r="CF17" s="32"/>
      <c r="CG17" s="32">
        <v>5952.1</v>
      </c>
      <c r="CH17" s="32">
        <v>7418.9</v>
      </c>
      <c r="CI17" s="32"/>
      <c r="CJ17" s="32">
        <v>13179.3</v>
      </c>
      <c r="CK17" s="32">
        <v>18402.9</v>
      </c>
      <c r="CL17" s="32"/>
      <c r="CM17" s="32">
        <v>11324.3</v>
      </c>
      <c r="CN17" s="32">
        <v>14762.5</v>
      </c>
      <c r="CO17" s="32"/>
      <c r="CP17" s="32">
        <v>2345.8</v>
      </c>
      <c r="CQ17" s="32">
        <v>2799.3</v>
      </c>
      <c r="CR17" s="32"/>
      <c r="CS17" s="32">
        <v>2170.3</v>
      </c>
      <c r="CT17" s="32">
        <v>2724.4</v>
      </c>
      <c r="CU17" s="13"/>
    </row>
    <row r="18" spans="1:99" ht="47.25">
      <c r="A18" s="21" t="s">
        <v>15</v>
      </c>
      <c r="B18" s="10" t="s">
        <v>186</v>
      </c>
      <c r="C18" s="7" t="s">
        <v>17</v>
      </c>
      <c r="D18" s="13"/>
      <c r="E18" s="13"/>
      <c r="F18" s="13"/>
      <c r="G18" s="37">
        <f aca="true" t="shared" si="2" ref="G18:N18">G17/G14*100</f>
        <v>0</v>
      </c>
      <c r="H18" s="37">
        <f t="shared" si="2"/>
        <v>0</v>
      </c>
      <c r="I18" s="37">
        <v>-5</v>
      </c>
      <c r="J18" s="37">
        <f t="shared" si="2"/>
        <v>85.92760713983616</v>
      </c>
      <c r="K18" s="37">
        <f t="shared" si="2"/>
        <v>37.43122058507952</v>
      </c>
      <c r="L18" s="37">
        <v>-5</v>
      </c>
      <c r="M18" s="37">
        <f t="shared" si="2"/>
        <v>0</v>
      </c>
      <c r="N18" s="37">
        <f t="shared" si="2"/>
        <v>38.59563574302084</v>
      </c>
      <c r="O18" s="37">
        <v>-5</v>
      </c>
      <c r="P18" s="37" t="e">
        <f aca="true" t="shared" si="3" ref="P18:BG18">P17/P14*100</f>
        <v>#DIV/0!</v>
      </c>
      <c r="Q18" s="37" t="e">
        <f t="shared" si="3"/>
        <v>#DIV/0!</v>
      </c>
      <c r="R18" s="37"/>
      <c r="S18" s="37">
        <f t="shared" si="3"/>
        <v>100</v>
      </c>
      <c r="T18" s="37">
        <f t="shared" si="3"/>
        <v>100</v>
      </c>
      <c r="U18" s="37">
        <v>5</v>
      </c>
      <c r="V18" s="37">
        <f t="shared" si="3"/>
        <v>98.10652680211311</v>
      </c>
      <c r="W18" s="37">
        <f t="shared" si="3"/>
        <v>98.22656083906173</v>
      </c>
      <c r="X18" s="37"/>
      <c r="Y18" s="37">
        <f t="shared" si="3"/>
        <v>47.74794484584292</v>
      </c>
      <c r="Z18" s="37">
        <f t="shared" si="3"/>
        <v>96.0986027763991</v>
      </c>
      <c r="AA18" s="37"/>
      <c r="AB18" s="37">
        <f t="shared" si="3"/>
        <v>0.05055253599855748</v>
      </c>
      <c r="AC18" s="37">
        <f t="shared" si="3"/>
        <v>0.47327314135701265</v>
      </c>
      <c r="AD18" s="37">
        <v>-5</v>
      </c>
      <c r="AE18" s="37">
        <f t="shared" si="3"/>
        <v>98.40297815876494</v>
      </c>
      <c r="AF18" s="37">
        <f t="shared" si="3"/>
        <v>98.968119581412</v>
      </c>
      <c r="AG18" s="37"/>
      <c r="AH18" s="37">
        <f t="shared" si="3"/>
        <v>16.52256090556896</v>
      </c>
      <c r="AI18" s="37">
        <f t="shared" si="3"/>
        <v>87.40652581467361</v>
      </c>
      <c r="AJ18" s="37">
        <v>-5</v>
      </c>
      <c r="AK18" s="37" t="e">
        <f t="shared" si="3"/>
        <v>#DIV/0!</v>
      </c>
      <c r="AL18" s="37" t="e">
        <f t="shared" si="3"/>
        <v>#DIV/0!</v>
      </c>
      <c r="AM18" s="37"/>
      <c r="AN18" s="37">
        <f t="shared" si="3"/>
        <v>23.863214930764602</v>
      </c>
      <c r="AO18" s="37">
        <f t="shared" si="3"/>
        <v>95.02004659369412</v>
      </c>
      <c r="AP18" s="37"/>
      <c r="AQ18" s="37">
        <f t="shared" si="3"/>
        <v>1.5479520288133644</v>
      </c>
      <c r="AR18" s="37">
        <f t="shared" si="3"/>
        <v>0.8348081610845828</v>
      </c>
      <c r="AS18" s="37">
        <v>-5</v>
      </c>
      <c r="AT18" s="37">
        <f t="shared" si="3"/>
        <v>100</v>
      </c>
      <c r="AU18" s="37">
        <f t="shared" si="3"/>
        <v>100</v>
      </c>
      <c r="AV18" s="37">
        <v>5</v>
      </c>
      <c r="AW18" s="37">
        <f t="shared" si="3"/>
        <v>99.46630823664289</v>
      </c>
      <c r="AX18" s="37">
        <f t="shared" si="3"/>
        <v>99.636204399232</v>
      </c>
      <c r="AY18" s="37"/>
      <c r="AZ18" s="37">
        <f t="shared" si="3"/>
        <v>96.2390873908739</v>
      </c>
      <c r="BA18" s="37">
        <f t="shared" si="3"/>
        <v>100</v>
      </c>
      <c r="BB18" s="37">
        <v>5</v>
      </c>
      <c r="BC18" s="37">
        <f t="shared" si="3"/>
        <v>55.51640322743029</v>
      </c>
      <c r="BD18" s="37">
        <f t="shared" si="3"/>
        <v>99.73195809969015</v>
      </c>
      <c r="BE18" s="37"/>
      <c r="BF18" s="37">
        <f t="shared" si="3"/>
        <v>98.86413832271093</v>
      </c>
      <c r="BG18" s="37">
        <f t="shared" si="3"/>
        <v>99.05480552623702</v>
      </c>
      <c r="BH18" s="37"/>
      <c r="BI18" s="37">
        <f aca="true" t="shared" si="4" ref="BI18:BV18">BI17/BI14*100</f>
        <v>98.8152334534519</v>
      </c>
      <c r="BJ18" s="37">
        <f t="shared" si="4"/>
        <v>99.47077626537396</v>
      </c>
      <c r="BK18" s="37"/>
      <c r="BL18" s="37">
        <f t="shared" si="4"/>
        <v>98.5919574930564</v>
      </c>
      <c r="BM18" s="37">
        <f t="shared" si="4"/>
        <v>99.80702431493633</v>
      </c>
      <c r="BN18" s="37"/>
      <c r="BO18" s="37">
        <f t="shared" si="4"/>
        <v>98.79862437905999</v>
      </c>
      <c r="BP18" s="37">
        <f t="shared" si="4"/>
        <v>100</v>
      </c>
      <c r="BQ18" s="37">
        <v>5</v>
      </c>
      <c r="BR18" s="37">
        <f t="shared" si="4"/>
        <v>97.44293052658914</v>
      </c>
      <c r="BS18" s="37">
        <f t="shared" si="4"/>
        <v>99.24546212402412</v>
      </c>
      <c r="BT18" s="37"/>
      <c r="BU18" s="37">
        <f t="shared" si="4"/>
        <v>98.93299559318504</v>
      </c>
      <c r="BV18" s="37">
        <f t="shared" si="4"/>
        <v>98.39155770266494</v>
      </c>
      <c r="BW18" s="37"/>
      <c r="BX18" s="37">
        <f aca="true" t="shared" si="5" ref="BX18:CH18">BX17/BX14*100</f>
        <v>98.52178743365016</v>
      </c>
      <c r="BY18" s="37">
        <f t="shared" si="5"/>
        <v>99.86648508638415</v>
      </c>
      <c r="BZ18" s="37"/>
      <c r="CA18" s="37">
        <f t="shared" si="5"/>
        <v>98.10235166122686</v>
      </c>
      <c r="CB18" s="37">
        <f t="shared" si="5"/>
        <v>99.06739570249923</v>
      </c>
      <c r="CC18" s="37"/>
      <c r="CD18" s="37">
        <f t="shared" si="5"/>
        <v>98.74251888674495</v>
      </c>
      <c r="CE18" s="37">
        <f t="shared" si="5"/>
        <v>99.79535036018336</v>
      </c>
      <c r="CF18" s="37"/>
      <c r="CG18" s="37">
        <f t="shared" si="5"/>
        <v>98.66231269062459</v>
      </c>
      <c r="CH18" s="37">
        <f t="shared" si="5"/>
        <v>99.79822166023217</v>
      </c>
      <c r="CI18" s="37"/>
      <c r="CJ18" s="37">
        <f>CJ17/CJ14*100</f>
        <v>98.56703737220381</v>
      </c>
      <c r="CK18" s="37">
        <f>CK17/CK14*100</f>
        <v>97.53032768205884</v>
      </c>
      <c r="CL18" s="37"/>
      <c r="CM18" s="37">
        <f>CM17/CM14*100</f>
        <v>98.34048317904718</v>
      </c>
      <c r="CN18" s="37">
        <f>CN17/CN14*100</f>
        <v>99.16703053101804</v>
      </c>
      <c r="CO18" s="37"/>
      <c r="CP18" s="37">
        <v>100</v>
      </c>
      <c r="CQ18" s="37">
        <v>100</v>
      </c>
      <c r="CR18" s="37">
        <v>5</v>
      </c>
      <c r="CS18" s="37">
        <v>100</v>
      </c>
      <c r="CT18" s="37">
        <v>100</v>
      </c>
      <c r="CU18" s="13">
        <v>5</v>
      </c>
    </row>
    <row r="19" spans="1:99" ht="31.5">
      <c r="A19" s="170" t="s">
        <v>16</v>
      </c>
      <c r="B19" s="9" t="s">
        <v>187</v>
      </c>
      <c r="C19" s="7"/>
      <c r="D19" s="15"/>
      <c r="E19" s="15"/>
      <c r="F19" s="15"/>
      <c r="G19" s="62"/>
      <c r="H19" s="62"/>
      <c r="I19" s="62"/>
      <c r="J19" s="62"/>
      <c r="K19" s="62"/>
      <c r="L19" s="6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32"/>
      <c r="AU19" s="32"/>
      <c r="AV19" s="32"/>
      <c r="AW19" s="32"/>
      <c r="AX19" s="32"/>
      <c r="AY19" s="32"/>
      <c r="AZ19" s="32"/>
      <c r="BA19" s="32"/>
      <c r="BB19" s="32"/>
      <c r="BC19" s="71"/>
      <c r="BD19" s="71"/>
      <c r="BE19" s="71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13"/>
    </row>
    <row r="20" spans="1:99" ht="15.75">
      <c r="A20" s="170"/>
      <c r="B20" s="14" t="s">
        <v>188</v>
      </c>
      <c r="C20" s="7" t="s">
        <v>189</v>
      </c>
      <c r="D20" s="15"/>
      <c r="E20" s="15"/>
      <c r="F20" s="15"/>
      <c r="G20" s="32">
        <v>0</v>
      </c>
      <c r="H20" s="32">
        <v>0</v>
      </c>
      <c r="I20" s="32"/>
      <c r="J20" s="32">
        <v>849.6</v>
      </c>
      <c r="K20" s="32">
        <v>782</v>
      </c>
      <c r="L20" s="32">
        <v>8</v>
      </c>
      <c r="M20" s="32">
        <v>0</v>
      </c>
      <c r="N20" s="32">
        <v>0</v>
      </c>
      <c r="O20" s="32"/>
      <c r="P20" s="32"/>
      <c r="Q20" s="32"/>
      <c r="R20" s="32"/>
      <c r="S20" s="32">
        <v>212.8</v>
      </c>
      <c r="T20" s="32">
        <v>188.1</v>
      </c>
      <c r="U20" s="32">
        <v>11</v>
      </c>
      <c r="V20" s="32">
        <v>262.6</v>
      </c>
      <c r="W20" s="32">
        <v>263</v>
      </c>
      <c r="X20" s="32"/>
      <c r="Y20" s="63">
        <v>619.3</v>
      </c>
      <c r="Z20" s="63">
        <v>359.5</v>
      </c>
      <c r="AA20" s="63">
        <v>41</v>
      </c>
      <c r="AB20" s="63">
        <v>2053</v>
      </c>
      <c r="AC20" s="63">
        <v>1247.7</v>
      </c>
      <c r="AD20" s="63">
        <v>39</v>
      </c>
      <c r="AE20" s="63">
        <v>1116</v>
      </c>
      <c r="AF20" s="63">
        <v>937.5</v>
      </c>
      <c r="AG20" s="63">
        <v>15</v>
      </c>
      <c r="AH20" s="63">
        <v>316.1</v>
      </c>
      <c r="AI20" s="63">
        <v>319.2</v>
      </c>
      <c r="AJ20" s="63"/>
      <c r="AK20" s="63"/>
      <c r="AL20" s="63"/>
      <c r="AM20" s="63"/>
      <c r="AN20" s="63">
        <v>714</v>
      </c>
      <c r="AO20" s="63">
        <v>577.4</v>
      </c>
      <c r="AP20" s="63">
        <v>19</v>
      </c>
      <c r="AQ20" s="63">
        <v>42.3</v>
      </c>
      <c r="AR20" s="63">
        <v>29.8</v>
      </c>
      <c r="AS20" s="63">
        <v>29</v>
      </c>
      <c r="AT20" s="32">
        <v>1623.8</v>
      </c>
      <c r="AU20" s="32">
        <v>1266.2</v>
      </c>
      <c r="AV20" s="32">
        <v>22</v>
      </c>
      <c r="AW20" s="32">
        <v>85</v>
      </c>
      <c r="AX20" s="32">
        <v>172</v>
      </c>
      <c r="AY20" s="32"/>
      <c r="AZ20" s="32">
        <v>222.9</v>
      </c>
      <c r="BA20" s="32">
        <v>251.3</v>
      </c>
      <c r="BB20" s="32"/>
      <c r="BC20" s="32">
        <v>317.7</v>
      </c>
      <c r="BD20" s="32">
        <v>283.7</v>
      </c>
      <c r="BE20" s="32">
        <v>10</v>
      </c>
      <c r="BF20" s="32">
        <v>212.3</v>
      </c>
      <c r="BG20" s="32">
        <v>192.2</v>
      </c>
      <c r="BH20" s="32">
        <v>9</v>
      </c>
      <c r="BI20" s="32">
        <v>180.3</v>
      </c>
      <c r="BJ20" s="32">
        <v>179.7</v>
      </c>
      <c r="BK20" s="32"/>
      <c r="BL20" s="32">
        <v>379.8</v>
      </c>
      <c r="BM20" s="32">
        <v>370.2</v>
      </c>
      <c r="BN20" s="32">
        <v>2</v>
      </c>
      <c r="BO20" s="32">
        <v>249.9</v>
      </c>
      <c r="BP20" s="32">
        <v>244.2</v>
      </c>
      <c r="BQ20" s="32">
        <v>2</v>
      </c>
      <c r="BR20" s="32">
        <v>436.5</v>
      </c>
      <c r="BS20" s="32">
        <v>434.8</v>
      </c>
      <c r="BT20" s="32"/>
      <c r="BU20" s="32">
        <v>204.8</v>
      </c>
      <c r="BV20" s="32">
        <v>155.9</v>
      </c>
      <c r="BW20" s="32">
        <v>23</v>
      </c>
      <c r="BX20" s="32">
        <v>309.8</v>
      </c>
      <c r="BY20" s="32">
        <v>256.6</v>
      </c>
      <c r="BZ20" s="32">
        <v>17</v>
      </c>
      <c r="CA20" s="32">
        <v>378.4</v>
      </c>
      <c r="CB20" s="32">
        <v>366.6</v>
      </c>
      <c r="CC20" s="32">
        <v>3</v>
      </c>
      <c r="CD20" s="32">
        <v>284.6</v>
      </c>
      <c r="CE20" s="32">
        <v>212</v>
      </c>
      <c r="CF20" s="32">
        <v>25</v>
      </c>
      <c r="CG20" s="32">
        <v>205</v>
      </c>
      <c r="CH20" s="32">
        <v>226.4</v>
      </c>
      <c r="CI20" s="32"/>
      <c r="CJ20" s="32">
        <v>543.5</v>
      </c>
      <c r="CK20" s="32">
        <v>708.1</v>
      </c>
      <c r="CL20" s="32"/>
      <c r="CM20" s="32">
        <v>678.2</v>
      </c>
      <c r="CN20" s="32">
        <v>609.9</v>
      </c>
      <c r="CO20" s="32">
        <v>10</v>
      </c>
      <c r="CP20" s="32">
        <v>108.4</v>
      </c>
      <c r="CQ20" s="32">
        <v>110.1</v>
      </c>
      <c r="CR20" s="32"/>
      <c r="CS20" s="32">
        <v>86.3</v>
      </c>
      <c r="CT20" s="32">
        <v>90</v>
      </c>
      <c r="CU20" s="13"/>
    </row>
    <row r="21" spans="1:99" ht="16.5" customHeight="1">
      <c r="A21" s="170"/>
      <c r="B21" s="14" t="s">
        <v>190</v>
      </c>
      <c r="C21" s="7" t="s">
        <v>191</v>
      </c>
      <c r="D21" s="15"/>
      <c r="E21" s="15"/>
      <c r="F21" s="15"/>
      <c r="G21" s="32">
        <v>0</v>
      </c>
      <c r="H21" s="32">
        <v>0</v>
      </c>
      <c r="I21" s="32"/>
      <c r="J21" s="32">
        <v>204.1</v>
      </c>
      <c r="K21" s="32">
        <v>213</v>
      </c>
      <c r="L21" s="32"/>
      <c r="M21" s="32">
        <v>0</v>
      </c>
      <c r="N21" s="32">
        <v>0</v>
      </c>
      <c r="O21" s="32"/>
      <c r="P21" s="32"/>
      <c r="Q21" s="32"/>
      <c r="R21" s="32"/>
      <c r="S21" s="32">
        <v>19.7</v>
      </c>
      <c r="T21" s="32">
        <v>20.6</v>
      </c>
      <c r="U21" s="32"/>
      <c r="V21" s="32">
        <v>18.1</v>
      </c>
      <c r="W21" s="32">
        <v>18</v>
      </c>
      <c r="X21" s="32"/>
      <c r="Y21" s="63">
        <v>79.1</v>
      </c>
      <c r="Z21" s="63">
        <v>65.8</v>
      </c>
      <c r="AA21" s="63">
        <v>16</v>
      </c>
      <c r="AB21" s="63">
        <v>124.4</v>
      </c>
      <c r="AC21" s="63">
        <v>140.5</v>
      </c>
      <c r="AD21" s="63"/>
      <c r="AE21" s="63">
        <v>137.8</v>
      </c>
      <c r="AF21" s="63">
        <v>139.6</v>
      </c>
      <c r="AG21" s="63"/>
      <c r="AH21" s="63">
        <v>117.9</v>
      </c>
      <c r="AI21" s="63">
        <v>118.8</v>
      </c>
      <c r="AJ21" s="63"/>
      <c r="AK21" s="63"/>
      <c r="AL21" s="63"/>
      <c r="AM21" s="63"/>
      <c r="AN21" s="63">
        <v>113.5</v>
      </c>
      <c r="AO21" s="63">
        <v>104.6</v>
      </c>
      <c r="AP21" s="63">
        <v>7</v>
      </c>
      <c r="AQ21" s="63">
        <v>4.9</v>
      </c>
      <c r="AR21" s="63">
        <v>5.5</v>
      </c>
      <c r="AS21" s="63"/>
      <c r="AT21" s="32">
        <v>209.9</v>
      </c>
      <c r="AU21" s="32">
        <v>226.1</v>
      </c>
      <c r="AV21" s="32"/>
      <c r="AW21" s="32">
        <v>8.7</v>
      </c>
      <c r="AX21" s="32">
        <v>16.2</v>
      </c>
      <c r="AY21" s="32"/>
      <c r="AZ21" s="32">
        <v>20.7</v>
      </c>
      <c r="BA21" s="32">
        <v>23.5</v>
      </c>
      <c r="BB21" s="32"/>
      <c r="BC21" s="32">
        <v>59.6</v>
      </c>
      <c r="BD21" s="32">
        <v>63.9</v>
      </c>
      <c r="BE21" s="32"/>
      <c r="BF21" s="32">
        <v>35.2</v>
      </c>
      <c r="BG21" s="32">
        <v>37.9</v>
      </c>
      <c r="BH21" s="32"/>
      <c r="BI21" s="32">
        <v>22.7</v>
      </c>
      <c r="BJ21" s="32">
        <v>19</v>
      </c>
      <c r="BK21" s="32">
        <v>16</v>
      </c>
      <c r="BL21" s="32">
        <v>36.9</v>
      </c>
      <c r="BM21" s="32">
        <v>38.9</v>
      </c>
      <c r="BN21" s="32"/>
      <c r="BO21" s="32">
        <v>36.4</v>
      </c>
      <c r="BP21" s="32">
        <v>37.7</v>
      </c>
      <c r="BQ21" s="32"/>
      <c r="BR21" s="32">
        <v>58.9</v>
      </c>
      <c r="BS21" s="32">
        <v>62</v>
      </c>
      <c r="BT21" s="32"/>
      <c r="BU21" s="32">
        <v>19.9</v>
      </c>
      <c r="BV21" s="32">
        <v>27.2</v>
      </c>
      <c r="BW21" s="32"/>
      <c r="BX21" s="32">
        <v>32.8</v>
      </c>
      <c r="BY21" s="32">
        <v>27.3</v>
      </c>
      <c r="BZ21" s="32">
        <v>16</v>
      </c>
      <c r="CA21" s="32">
        <v>61.3</v>
      </c>
      <c r="CB21" s="32">
        <v>67.3</v>
      </c>
      <c r="CC21" s="32"/>
      <c r="CD21" s="32">
        <v>37.3</v>
      </c>
      <c r="CE21" s="32">
        <v>26.9</v>
      </c>
      <c r="CF21" s="32">
        <v>27</v>
      </c>
      <c r="CG21" s="32">
        <v>32.7</v>
      </c>
      <c r="CH21" s="32">
        <v>27.9</v>
      </c>
      <c r="CI21" s="32">
        <v>14</v>
      </c>
      <c r="CJ21" s="32">
        <v>61.1</v>
      </c>
      <c r="CK21" s="32">
        <v>85.3</v>
      </c>
      <c r="CL21" s="32"/>
      <c r="CM21" s="32">
        <v>60.4</v>
      </c>
      <c r="CN21" s="32">
        <v>64.4</v>
      </c>
      <c r="CO21" s="32"/>
      <c r="CP21" s="32">
        <v>6.9</v>
      </c>
      <c r="CQ21" s="32">
        <v>7.8</v>
      </c>
      <c r="CR21" s="32"/>
      <c r="CS21" s="32">
        <v>12.8</v>
      </c>
      <c r="CT21" s="32">
        <v>11.7</v>
      </c>
      <c r="CU21" s="13">
        <v>8</v>
      </c>
    </row>
    <row r="22" spans="1:99" ht="15.75">
      <c r="A22" s="170"/>
      <c r="B22" s="14" t="s">
        <v>192</v>
      </c>
      <c r="C22" s="7" t="s">
        <v>193</v>
      </c>
      <c r="D22" s="15"/>
      <c r="E22" s="15"/>
      <c r="F22" s="15"/>
      <c r="G22" s="32">
        <v>0</v>
      </c>
      <c r="H22" s="32">
        <v>0</v>
      </c>
      <c r="I22" s="32"/>
      <c r="J22" s="32">
        <v>2298</v>
      </c>
      <c r="K22" s="32">
        <v>2622</v>
      </c>
      <c r="L22" s="32"/>
      <c r="M22" s="32">
        <v>0</v>
      </c>
      <c r="N22" s="32">
        <v>0</v>
      </c>
      <c r="O22" s="32"/>
      <c r="P22" s="32"/>
      <c r="Q22" s="32"/>
      <c r="R22" s="32"/>
      <c r="S22" s="32">
        <v>63</v>
      </c>
      <c r="T22" s="32">
        <v>63</v>
      </c>
      <c r="U22" s="32"/>
      <c r="V22" s="32">
        <v>87.2</v>
      </c>
      <c r="W22" s="32">
        <v>89.8</v>
      </c>
      <c r="X22" s="32"/>
      <c r="Y22" s="63">
        <v>388</v>
      </c>
      <c r="Z22" s="63">
        <v>442</v>
      </c>
      <c r="AA22" s="63"/>
      <c r="AB22" s="63">
        <v>3192</v>
      </c>
      <c r="AC22" s="63">
        <v>5753</v>
      </c>
      <c r="AD22" s="63"/>
      <c r="AE22" s="63">
        <v>2681</v>
      </c>
      <c r="AF22" s="63">
        <v>3138</v>
      </c>
      <c r="AG22" s="63"/>
      <c r="AH22" s="63">
        <v>1884</v>
      </c>
      <c r="AI22" s="63">
        <v>1931</v>
      </c>
      <c r="AJ22" s="63"/>
      <c r="AK22" s="63"/>
      <c r="AL22" s="63"/>
      <c r="AM22" s="63"/>
      <c r="AN22" s="63">
        <v>2899</v>
      </c>
      <c r="AO22" s="63">
        <v>2918</v>
      </c>
      <c r="AP22" s="63"/>
      <c r="AQ22" s="63">
        <v>48</v>
      </c>
      <c r="AR22" s="63">
        <v>81</v>
      </c>
      <c r="AS22" s="63"/>
      <c r="AT22" s="32">
        <v>8973</v>
      </c>
      <c r="AU22" s="32">
        <v>9155</v>
      </c>
      <c r="AV22" s="32"/>
      <c r="AW22" s="32">
        <v>118</v>
      </c>
      <c r="AX22" s="32">
        <v>185</v>
      </c>
      <c r="AY22" s="32"/>
      <c r="AZ22" s="32">
        <v>245</v>
      </c>
      <c r="BA22" s="32">
        <v>276</v>
      </c>
      <c r="BB22" s="32"/>
      <c r="BC22" s="32">
        <v>2422</v>
      </c>
      <c r="BD22" s="32">
        <v>2644</v>
      </c>
      <c r="BE22" s="32"/>
      <c r="BF22" s="32">
        <v>862</v>
      </c>
      <c r="BG22" s="32">
        <v>821</v>
      </c>
      <c r="BH22" s="32">
        <v>4</v>
      </c>
      <c r="BI22" s="32">
        <v>825</v>
      </c>
      <c r="BJ22" s="32">
        <v>676.6</v>
      </c>
      <c r="BK22" s="32">
        <v>17</v>
      </c>
      <c r="BL22" s="32">
        <v>1424</v>
      </c>
      <c r="BM22" s="32">
        <v>1845</v>
      </c>
      <c r="BN22" s="32"/>
      <c r="BO22" s="32">
        <v>3055</v>
      </c>
      <c r="BP22" s="32">
        <v>2335</v>
      </c>
      <c r="BQ22" s="32">
        <v>23</v>
      </c>
      <c r="BR22" s="32">
        <v>2807</v>
      </c>
      <c r="BS22" s="32">
        <v>2380</v>
      </c>
      <c r="BT22" s="32">
        <v>15</v>
      </c>
      <c r="BU22" s="32">
        <v>1736</v>
      </c>
      <c r="BV22" s="32">
        <v>1698</v>
      </c>
      <c r="BW22" s="32">
        <v>2</v>
      </c>
      <c r="BX22" s="32">
        <v>1445</v>
      </c>
      <c r="BY22" s="32">
        <v>1282</v>
      </c>
      <c r="BZ22" s="32">
        <v>11</v>
      </c>
      <c r="CA22" s="32">
        <v>5226</v>
      </c>
      <c r="CB22" s="32">
        <v>3870</v>
      </c>
      <c r="CC22" s="32">
        <v>25</v>
      </c>
      <c r="CD22" s="32">
        <v>1410</v>
      </c>
      <c r="CE22" s="32">
        <v>1557</v>
      </c>
      <c r="CF22" s="32"/>
      <c r="CG22" s="32">
        <v>1049</v>
      </c>
      <c r="CH22" s="32">
        <v>1200</v>
      </c>
      <c r="CI22" s="32"/>
      <c r="CJ22" s="32">
        <v>4507</v>
      </c>
      <c r="CK22" s="32">
        <v>5384</v>
      </c>
      <c r="CL22" s="32"/>
      <c r="CM22" s="32">
        <v>4515</v>
      </c>
      <c r="CN22" s="32">
        <v>4880</v>
      </c>
      <c r="CO22" s="32"/>
      <c r="CP22" s="32">
        <v>96</v>
      </c>
      <c r="CQ22" s="32">
        <v>98</v>
      </c>
      <c r="CR22" s="32"/>
      <c r="CS22" s="32">
        <v>39</v>
      </c>
      <c r="CT22" s="32">
        <v>22</v>
      </c>
      <c r="CU22" s="13">
        <v>43</v>
      </c>
    </row>
    <row r="23" spans="1:99" ht="31.5">
      <c r="A23" s="142" t="s">
        <v>18</v>
      </c>
      <c r="B23" s="9" t="s">
        <v>194</v>
      </c>
      <c r="C23" s="7"/>
      <c r="D23" s="15"/>
      <c r="E23" s="15"/>
      <c r="F23" s="15"/>
      <c r="G23" s="62"/>
      <c r="H23" s="62"/>
      <c r="I23" s="62"/>
      <c r="J23" s="62"/>
      <c r="K23" s="62"/>
      <c r="L23" s="6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32"/>
      <c r="AU23" s="32"/>
      <c r="AV23" s="32"/>
      <c r="AW23" s="32"/>
      <c r="AX23" s="32"/>
      <c r="AY23" s="32"/>
      <c r="AZ23" s="32"/>
      <c r="BA23" s="32"/>
      <c r="BB23" s="32"/>
      <c r="BC23" s="71"/>
      <c r="BD23" s="71"/>
      <c r="BE23" s="71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13"/>
    </row>
    <row r="24" spans="1:99" ht="15.75">
      <c r="A24" s="142"/>
      <c r="B24" s="14" t="s">
        <v>188</v>
      </c>
      <c r="C24" s="7" t="s">
        <v>189</v>
      </c>
      <c r="D24" s="15"/>
      <c r="E24" s="15"/>
      <c r="F24" s="15"/>
      <c r="G24" s="32">
        <v>0</v>
      </c>
      <c r="H24" s="32">
        <v>0</v>
      </c>
      <c r="I24" s="32"/>
      <c r="J24" s="32">
        <v>988</v>
      </c>
      <c r="K24" s="32">
        <v>993</v>
      </c>
      <c r="L24" s="32"/>
      <c r="M24" s="32">
        <v>0</v>
      </c>
      <c r="N24" s="32">
        <v>0</v>
      </c>
      <c r="O24" s="32"/>
      <c r="P24" s="32"/>
      <c r="Q24" s="32"/>
      <c r="R24" s="32"/>
      <c r="S24" s="32">
        <v>214</v>
      </c>
      <c r="T24" s="32">
        <v>214</v>
      </c>
      <c r="U24" s="32"/>
      <c r="V24" s="32">
        <v>270</v>
      </c>
      <c r="W24" s="32">
        <v>280</v>
      </c>
      <c r="X24" s="32"/>
      <c r="Y24" s="63">
        <v>504.2</v>
      </c>
      <c r="Z24" s="63">
        <v>300.5</v>
      </c>
      <c r="AA24" s="63">
        <v>-3</v>
      </c>
      <c r="AB24" s="63">
        <v>1930</v>
      </c>
      <c r="AC24" s="63">
        <v>2095</v>
      </c>
      <c r="AD24" s="63"/>
      <c r="AE24" s="63">
        <v>1200</v>
      </c>
      <c r="AF24" s="63">
        <v>1245</v>
      </c>
      <c r="AG24" s="63"/>
      <c r="AH24" s="63">
        <v>420</v>
      </c>
      <c r="AI24" s="63">
        <v>411</v>
      </c>
      <c r="AJ24" s="63"/>
      <c r="AK24" s="63"/>
      <c r="AL24" s="63"/>
      <c r="AM24" s="63"/>
      <c r="AN24" s="63">
        <v>714</v>
      </c>
      <c r="AO24" s="63">
        <v>707.1</v>
      </c>
      <c r="AP24" s="63"/>
      <c r="AQ24" s="63">
        <v>55</v>
      </c>
      <c r="AR24" s="63">
        <v>50</v>
      </c>
      <c r="AS24" s="63"/>
      <c r="AT24" s="32">
        <v>1900</v>
      </c>
      <c r="AU24" s="32">
        <v>1658</v>
      </c>
      <c r="AV24" s="32"/>
      <c r="AW24" s="32">
        <v>95</v>
      </c>
      <c r="AX24" s="32">
        <v>225</v>
      </c>
      <c r="AY24" s="32"/>
      <c r="AZ24" s="32">
        <v>405</v>
      </c>
      <c r="BA24" s="32">
        <v>404</v>
      </c>
      <c r="BB24" s="32"/>
      <c r="BC24" s="32">
        <v>330</v>
      </c>
      <c r="BD24" s="32">
        <v>326</v>
      </c>
      <c r="BE24" s="32"/>
      <c r="BF24" s="32">
        <v>243</v>
      </c>
      <c r="BG24" s="32">
        <v>245</v>
      </c>
      <c r="BH24" s="32"/>
      <c r="BI24" s="32">
        <v>170</v>
      </c>
      <c r="BJ24" s="32">
        <v>170</v>
      </c>
      <c r="BK24" s="32">
        <v>-3</v>
      </c>
      <c r="BL24" s="32">
        <v>380</v>
      </c>
      <c r="BM24" s="32">
        <v>386</v>
      </c>
      <c r="BN24" s="32"/>
      <c r="BO24" s="32">
        <v>260</v>
      </c>
      <c r="BP24" s="32">
        <v>250</v>
      </c>
      <c r="BQ24" s="32"/>
      <c r="BR24" s="32">
        <v>440</v>
      </c>
      <c r="BS24" s="32">
        <v>455</v>
      </c>
      <c r="BT24" s="32"/>
      <c r="BU24" s="32">
        <v>220</v>
      </c>
      <c r="BV24" s="32">
        <v>220</v>
      </c>
      <c r="BW24" s="32"/>
      <c r="BX24" s="32">
        <v>340</v>
      </c>
      <c r="BY24" s="32">
        <v>303</v>
      </c>
      <c r="BZ24" s="32"/>
      <c r="CA24" s="32">
        <v>405</v>
      </c>
      <c r="CB24" s="32">
        <v>393</v>
      </c>
      <c r="CC24" s="32"/>
      <c r="CD24" s="32">
        <v>310</v>
      </c>
      <c r="CE24" s="32">
        <v>310</v>
      </c>
      <c r="CF24" s="32"/>
      <c r="CG24" s="32">
        <v>205</v>
      </c>
      <c r="CH24" s="32">
        <v>204</v>
      </c>
      <c r="CI24" s="32">
        <v>-3</v>
      </c>
      <c r="CJ24" s="32">
        <v>550</v>
      </c>
      <c r="CK24" s="32">
        <v>737</v>
      </c>
      <c r="CL24" s="32"/>
      <c r="CM24" s="32">
        <v>700</v>
      </c>
      <c r="CN24" s="32">
        <v>630</v>
      </c>
      <c r="CO24" s="32"/>
      <c r="CP24" s="32">
        <v>120</v>
      </c>
      <c r="CQ24" s="32">
        <v>120</v>
      </c>
      <c r="CR24" s="32"/>
      <c r="CS24" s="32">
        <v>100</v>
      </c>
      <c r="CT24" s="32">
        <v>100</v>
      </c>
      <c r="CU24" s="13"/>
    </row>
    <row r="25" spans="1:99" ht="15" customHeight="1">
      <c r="A25" s="142"/>
      <c r="B25" s="14" t="s">
        <v>190</v>
      </c>
      <c r="C25" s="7" t="s">
        <v>191</v>
      </c>
      <c r="D25" s="15"/>
      <c r="E25" s="15"/>
      <c r="F25" s="15"/>
      <c r="G25" s="32">
        <v>0</v>
      </c>
      <c r="H25" s="32">
        <v>0</v>
      </c>
      <c r="I25" s="32"/>
      <c r="J25" s="32">
        <v>208.5</v>
      </c>
      <c r="K25" s="32">
        <v>206.4</v>
      </c>
      <c r="L25" s="32">
        <v>-3</v>
      </c>
      <c r="M25" s="32">
        <v>0</v>
      </c>
      <c r="N25" s="32">
        <v>0</v>
      </c>
      <c r="O25" s="32"/>
      <c r="P25" s="32"/>
      <c r="Q25" s="32"/>
      <c r="R25" s="32"/>
      <c r="S25" s="32">
        <v>22</v>
      </c>
      <c r="T25" s="32">
        <v>22</v>
      </c>
      <c r="U25" s="32">
        <v>-3</v>
      </c>
      <c r="V25" s="32">
        <v>28.3</v>
      </c>
      <c r="W25" s="32">
        <v>18.8</v>
      </c>
      <c r="X25" s="32"/>
      <c r="Y25" s="63">
        <v>75.6</v>
      </c>
      <c r="Z25" s="63">
        <v>62.2</v>
      </c>
      <c r="AA25" s="63">
        <v>-3</v>
      </c>
      <c r="AB25" s="63">
        <v>165.3</v>
      </c>
      <c r="AC25" s="63">
        <v>140.1</v>
      </c>
      <c r="AD25" s="63"/>
      <c r="AE25" s="63">
        <v>170.2</v>
      </c>
      <c r="AF25" s="63">
        <v>148</v>
      </c>
      <c r="AG25" s="63"/>
      <c r="AH25" s="63">
        <v>130</v>
      </c>
      <c r="AI25" s="63">
        <v>120</v>
      </c>
      <c r="AJ25" s="63"/>
      <c r="AK25" s="63"/>
      <c r="AL25" s="63"/>
      <c r="AM25" s="63"/>
      <c r="AN25" s="63">
        <v>99.6</v>
      </c>
      <c r="AO25" s="63">
        <v>99.6</v>
      </c>
      <c r="AP25" s="63">
        <v>-3</v>
      </c>
      <c r="AQ25" s="63">
        <v>5.6</v>
      </c>
      <c r="AR25" s="63">
        <v>5.7</v>
      </c>
      <c r="AS25" s="63"/>
      <c r="AT25" s="32">
        <v>232</v>
      </c>
      <c r="AU25" s="32">
        <v>226.1</v>
      </c>
      <c r="AV25" s="32"/>
      <c r="AW25" s="32">
        <v>12.4</v>
      </c>
      <c r="AX25" s="32">
        <v>22.6</v>
      </c>
      <c r="AY25" s="32"/>
      <c r="AZ25" s="32">
        <v>23.6</v>
      </c>
      <c r="BA25" s="32">
        <v>23.6</v>
      </c>
      <c r="BB25" s="32"/>
      <c r="BC25" s="32">
        <v>55</v>
      </c>
      <c r="BD25" s="32">
        <v>59.2</v>
      </c>
      <c r="BE25" s="32">
        <v>-3</v>
      </c>
      <c r="BF25" s="32">
        <v>33.6</v>
      </c>
      <c r="BG25" s="32">
        <v>33.5</v>
      </c>
      <c r="BH25" s="32">
        <v>-3</v>
      </c>
      <c r="BI25" s="32">
        <v>32.2</v>
      </c>
      <c r="BJ25" s="32">
        <v>29</v>
      </c>
      <c r="BK25" s="32"/>
      <c r="BL25" s="32">
        <v>39.1</v>
      </c>
      <c r="BM25" s="32">
        <v>36.3</v>
      </c>
      <c r="BN25" s="32">
        <v>-3</v>
      </c>
      <c r="BO25" s="32">
        <v>38.5</v>
      </c>
      <c r="BP25" s="32">
        <v>38</v>
      </c>
      <c r="BQ25" s="32"/>
      <c r="BR25" s="32">
        <v>56.1</v>
      </c>
      <c r="BS25" s="32">
        <v>57</v>
      </c>
      <c r="BT25" s="32">
        <v>-3</v>
      </c>
      <c r="BU25" s="32">
        <v>21</v>
      </c>
      <c r="BV25" s="32">
        <v>20</v>
      </c>
      <c r="BW25" s="32">
        <v>-3</v>
      </c>
      <c r="BX25" s="32">
        <v>30.2</v>
      </c>
      <c r="BY25" s="32">
        <v>31</v>
      </c>
      <c r="BZ25" s="32"/>
      <c r="CA25" s="32">
        <v>87</v>
      </c>
      <c r="CB25" s="32">
        <v>86.2</v>
      </c>
      <c r="CC25" s="32"/>
      <c r="CD25" s="32">
        <v>36.7</v>
      </c>
      <c r="CE25" s="32">
        <v>36</v>
      </c>
      <c r="CF25" s="32"/>
      <c r="CG25" s="32">
        <v>32.4</v>
      </c>
      <c r="CH25" s="32">
        <v>32</v>
      </c>
      <c r="CI25" s="32"/>
      <c r="CJ25" s="32">
        <v>60.7</v>
      </c>
      <c r="CK25" s="32">
        <v>89.9</v>
      </c>
      <c r="CL25" s="32"/>
      <c r="CM25" s="32">
        <v>50.5</v>
      </c>
      <c r="CN25" s="32">
        <v>50.5</v>
      </c>
      <c r="CO25" s="32">
        <v>-3</v>
      </c>
      <c r="CP25" s="32">
        <v>4.3</v>
      </c>
      <c r="CQ25" s="32">
        <v>4.5</v>
      </c>
      <c r="CR25" s="32">
        <v>-3</v>
      </c>
      <c r="CS25" s="32">
        <v>13.6</v>
      </c>
      <c r="CT25" s="32">
        <v>13.6</v>
      </c>
      <c r="CU25" s="13"/>
    </row>
    <row r="26" spans="1:99" ht="15.75">
      <c r="A26" s="142"/>
      <c r="B26" s="14" t="s">
        <v>192</v>
      </c>
      <c r="C26" s="7" t="s">
        <v>193</v>
      </c>
      <c r="D26" s="15"/>
      <c r="E26" s="15"/>
      <c r="F26" s="15"/>
      <c r="G26" s="32">
        <v>0</v>
      </c>
      <c r="H26" s="32">
        <v>0</v>
      </c>
      <c r="I26" s="32"/>
      <c r="J26" s="32">
        <v>1600</v>
      </c>
      <c r="K26" s="32">
        <v>1757.2</v>
      </c>
      <c r="L26" s="32"/>
      <c r="M26" s="32">
        <v>0</v>
      </c>
      <c r="N26" s="32">
        <v>0</v>
      </c>
      <c r="O26" s="32"/>
      <c r="P26" s="32"/>
      <c r="Q26" s="32"/>
      <c r="R26" s="32"/>
      <c r="S26" s="32">
        <v>70</v>
      </c>
      <c r="T26" s="32">
        <v>64</v>
      </c>
      <c r="U26" s="32">
        <v>-3</v>
      </c>
      <c r="V26" s="32">
        <v>143</v>
      </c>
      <c r="W26" s="32">
        <v>129</v>
      </c>
      <c r="X26" s="32"/>
      <c r="Y26" s="63">
        <v>819</v>
      </c>
      <c r="Z26" s="63">
        <v>660</v>
      </c>
      <c r="AA26" s="63"/>
      <c r="AB26" s="63">
        <v>4264</v>
      </c>
      <c r="AC26" s="63">
        <v>3650</v>
      </c>
      <c r="AD26" s="63">
        <v>-3</v>
      </c>
      <c r="AE26" s="63">
        <v>2955.4</v>
      </c>
      <c r="AF26" s="63">
        <v>3000</v>
      </c>
      <c r="AG26" s="63">
        <v>-3</v>
      </c>
      <c r="AH26" s="63">
        <v>2327</v>
      </c>
      <c r="AI26" s="63">
        <v>2100</v>
      </c>
      <c r="AJ26" s="63"/>
      <c r="AK26" s="63"/>
      <c r="AL26" s="63"/>
      <c r="AM26" s="63"/>
      <c r="AN26" s="63">
        <v>2900</v>
      </c>
      <c r="AO26" s="63">
        <v>2900</v>
      </c>
      <c r="AP26" s="63">
        <v>-3</v>
      </c>
      <c r="AQ26" s="63">
        <v>90</v>
      </c>
      <c r="AR26" s="63">
        <v>60</v>
      </c>
      <c r="AS26" s="63">
        <v>-3</v>
      </c>
      <c r="AT26" s="32">
        <v>8200</v>
      </c>
      <c r="AU26" s="32">
        <v>9155</v>
      </c>
      <c r="AV26" s="32"/>
      <c r="AW26" s="32">
        <v>130</v>
      </c>
      <c r="AX26" s="32">
        <v>188</v>
      </c>
      <c r="AY26" s="32"/>
      <c r="AZ26" s="32">
        <v>378</v>
      </c>
      <c r="BA26" s="32">
        <v>349</v>
      </c>
      <c r="BB26" s="32"/>
      <c r="BC26" s="32">
        <v>4955</v>
      </c>
      <c r="BD26" s="32">
        <v>2900</v>
      </c>
      <c r="BE26" s="32"/>
      <c r="BF26" s="32">
        <v>1970</v>
      </c>
      <c r="BG26" s="32">
        <v>1800</v>
      </c>
      <c r="BH26" s="32"/>
      <c r="BI26" s="32">
        <v>1254</v>
      </c>
      <c r="BJ26" s="32">
        <v>1040</v>
      </c>
      <c r="BK26" s="32"/>
      <c r="BL26" s="32">
        <v>2548</v>
      </c>
      <c r="BM26" s="32">
        <v>2200</v>
      </c>
      <c r="BN26" s="32"/>
      <c r="BO26" s="32">
        <v>3546</v>
      </c>
      <c r="BP26" s="32">
        <v>3300</v>
      </c>
      <c r="BQ26" s="32"/>
      <c r="BR26" s="32">
        <v>5400</v>
      </c>
      <c r="BS26" s="32">
        <v>4300</v>
      </c>
      <c r="BT26" s="32"/>
      <c r="BU26" s="32">
        <v>1900</v>
      </c>
      <c r="BV26" s="32">
        <v>1800</v>
      </c>
      <c r="BW26" s="32"/>
      <c r="BX26" s="32">
        <v>1995</v>
      </c>
      <c r="BY26" s="32">
        <v>1830</v>
      </c>
      <c r="BZ26" s="32"/>
      <c r="CA26" s="32">
        <v>3700</v>
      </c>
      <c r="CB26" s="32">
        <v>4500</v>
      </c>
      <c r="CC26" s="32"/>
      <c r="CD26" s="32">
        <v>1518</v>
      </c>
      <c r="CE26" s="32">
        <v>1400</v>
      </c>
      <c r="CF26" s="32">
        <v>-3</v>
      </c>
      <c r="CG26" s="32">
        <v>1416</v>
      </c>
      <c r="CH26" s="32">
        <v>1170</v>
      </c>
      <c r="CI26" s="32">
        <v>-3</v>
      </c>
      <c r="CJ26" s="32">
        <v>3837</v>
      </c>
      <c r="CK26" s="32">
        <v>5930</v>
      </c>
      <c r="CL26" s="32"/>
      <c r="CM26" s="32">
        <v>3858</v>
      </c>
      <c r="CN26" s="32">
        <v>4500</v>
      </c>
      <c r="CO26" s="32">
        <v>-3</v>
      </c>
      <c r="CP26" s="32">
        <v>157</v>
      </c>
      <c r="CQ26" s="32">
        <v>145</v>
      </c>
      <c r="CR26" s="32"/>
      <c r="CS26" s="32">
        <v>65</v>
      </c>
      <c r="CT26" s="32">
        <v>54</v>
      </c>
      <c r="CU26" s="13"/>
    </row>
    <row r="27" spans="1:99" ht="63">
      <c r="A27" s="142" t="s">
        <v>19</v>
      </c>
      <c r="B27" s="9" t="s">
        <v>229</v>
      </c>
      <c r="C27" s="7"/>
      <c r="D27" s="9"/>
      <c r="E27" s="9"/>
      <c r="F27" s="9"/>
      <c r="G27" s="55"/>
      <c r="H27" s="55"/>
      <c r="I27" s="55"/>
      <c r="J27" s="55"/>
      <c r="K27" s="55"/>
      <c r="L27" s="55"/>
      <c r="M27" s="55"/>
      <c r="N27" s="55"/>
      <c r="O27" s="55"/>
      <c r="P27" s="32"/>
      <c r="Q27" s="32"/>
      <c r="R27" s="32"/>
      <c r="S27" s="32"/>
      <c r="T27" s="32"/>
      <c r="U27" s="32"/>
      <c r="V27" s="32"/>
      <c r="W27" s="32"/>
      <c r="X27" s="32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32"/>
      <c r="AU27" s="32"/>
      <c r="AV27" s="32"/>
      <c r="AW27" s="32"/>
      <c r="AX27" s="32"/>
      <c r="AY27" s="32"/>
      <c r="AZ27" s="32"/>
      <c r="BA27" s="32"/>
      <c r="BB27" s="32"/>
      <c r="BC27" s="71"/>
      <c r="BD27" s="71"/>
      <c r="BE27" s="71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13"/>
    </row>
    <row r="28" spans="1:99" ht="15.75">
      <c r="A28" s="142"/>
      <c r="B28" s="14" t="s">
        <v>188</v>
      </c>
      <c r="C28" s="7" t="s">
        <v>189</v>
      </c>
      <c r="D28" s="9"/>
      <c r="E28" s="9"/>
      <c r="F28" s="9"/>
      <c r="G28" s="55">
        <v>0</v>
      </c>
      <c r="H28" s="55">
        <v>0</v>
      </c>
      <c r="I28" s="55"/>
      <c r="J28" s="55">
        <v>849.6</v>
      </c>
      <c r="K28" s="55">
        <v>782</v>
      </c>
      <c r="L28" s="55">
        <v>2</v>
      </c>
      <c r="M28" s="32">
        <v>0</v>
      </c>
      <c r="N28" s="32">
        <v>0</v>
      </c>
      <c r="O28" s="32"/>
      <c r="P28" s="32"/>
      <c r="Q28" s="32"/>
      <c r="R28" s="32"/>
      <c r="S28" s="32"/>
      <c r="T28" s="32"/>
      <c r="U28" s="32"/>
      <c r="V28" s="32">
        <v>0</v>
      </c>
      <c r="W28" s="32">
        <v>0</v>
      </c>
      <c r="X28" s="32"/>
      <c r="Y28" s="63">
        <v>619.3</v>
      </c>
      <c r="Z28" s="63">
        <v>359.5</v>
      </c>
      <c r="AA28" s="63">
        <v>2</v>
      </c>
      <c r="AB28" s="63">
        <v>2053</v>
      </c>
      <c r="AC28" s="63">
        <v>1247.7</v>
      </c>
      <c r="AD28" s="63">
        <v>2</v>
      </c>
      <c r="AE28" s="63">
        <v>1116</v>
      </c>
      <c r="AF28" s="63">
        <v>937.5</v>
      </c>
      <c r="AG28" s="63">
        <v>2</v>
      </c>
      <c r="AH28" s="63">
        <v>316.1</v>
      </c>
      <c r="AI28" s="63">
        <v>319.2</v>
      </c>
      <c r="AJ28" s="63">
        <v>2</v>
      </c>
      <c r="AK28" s="63"/>
      <c r="AL28" s="63"/>
      <c r="AM28" s="63"/>
      <c r="AN28" s="63">
        <v>714</v>
      </c>
      <c r="AO28" s="63">
        <v>577.4</v>
      </c>
      <c r="AP28" s="63">
        <v>2</v>
      </c>
      <c r="AQ28" s="63">
        <v>42.3</v>
      </c>
      <c r="AR28" s="63">
        <v>29.8</v>
      </c>
      <c r="AS28" s="63">
        <v>2</v>
      </c>
      <c r="AT28" s="32">
        <v>989.3</v>
      </c>
      <c r="AU28" s="32">
        <v>1266.2</v>
      </c>
      <c r="AV28" s="32">
        <v>2</v>
      </c>
      <c r="AW28" s="32">
        <v>85</v>
      </c>
      <c r="AX28" s="32">
        <v>172</v>
      </c>
      <c r="AY28" s="32">
        <v>2</v>
      </c>
      <c r="AZ28" s="32">
        <v>222.9</v>
      </c>
      <c r="BA28" s="32">
        <v>251.3</v>
      </c>
      <c r="BB28" s="32">
        <v>2</v>
      </c>
      <c r="BC28" s="32">
        <v>317.7</v>
      </c>
      <c r="BD28" s="32">
        <v>283.7</v>
      </c>
      <c r="BE28" s="32">
        <v>2</v>
      </c>
      <c r="BF28" s="32">
        <v>87.2</v>
      </c>
      <c r="BG28" s="32">
        <v>192.2</v>
      </c>
      <c r="BH28" s="32">
        <v>2</v>
      </c>
      <c r="BI28" s="32">
        <v>0</v>
      </c>
      <c r="BJ28" s="32">
        <v>75.8</v>
      </c>
      <c r="BK28" s="32"/>
      <c r="BL28" s="32">
        <v>0</v>
      </c>
      <c r="BM28" s="32">
        <v>0</v>
      </c>
      <c r="BN28" s="32"/>
      <c r="BO28" s="32">
        <v>0</v>
      </c>
      <c r="BP28" s="32">
        <v>98.8</v>
      </c>
      <c r="BQ28" s="32"/>
      <c r="BR28" s="32">
        <v>436.5</v>
      </c>
      <c r="BS28" s="32">
        <v>434.8</v>
      </c>
      <c r="BT28" s="32">
        <v>2</v>
      </c>
      <c r="BU28" s="32">
        <v>204.8</v>
      </c>
      <c r="BV28" s="32">
        <v>155.9</v>
      </c>
      <c r="BW28" s="32">
        <v>2</v>
      </c>
      <c r="BX28" s="32">
        <v>0</v>
      </c>
      <c r="BY28" s="32">
        <v>0</v>
      </c>
      <c r="BZ28" s="32"/>
      <c r="CA28" s="32">
        <v>0</v>
      </c>
      <c r="CB28" s="32">
        <v>167.9</v>
      </c>
      <c r="CC28" s="32"/>
      <c r="CD28" s="32">
        <v>284.6</v>
      </c>
      <c r="CE28" s="32">
        <v>212</v>
      </c>
      <c r="CF28" s="32">
        <v>2</v>
      </c>
      <c r="CG28" s="32">
        <v>0</v>
      </c>
      <c r="CH28" s="32">
        <v>0</v>
      </c>
      <c r="CI28" s="32"/>
      <c r="CJ28" s="32">
        <v>543.5</v>
      </c>
      <c r="CK28" s="32">
        <v>708.1</v>
      </c>
      <c r="CL28" s="32">
        <v>2</v>
      </c>
      <c r="CM28" s="32">
        <v>678.2</v>
      </c>
      <c r="CN28" s="32">
        <v>609.9</v>
      </c>
      <c r="CO28" s="32">
        <v>2</v>
      </c>
      <c r="CP28" s="32">
        <v>0</v>
      </c>
      <c r="CQ28" s="32">
        <v>0</v>
      </c>
      <c r="CR28" s="32"/>
      <c r="CS28" s="32">
        <v>0</v>
      </c>
      <c r="CT28" s="32">
        <v>0</v>
      </c>
      <c r="CU28" s="13"/>
    </row>
    <row r="29" spans="1:99" ht="16.5" customHeight="1">
      <c r="A29" s="142"/>
      <c r="B29" s="14" t="s">
        <v>190</v>
      </c>
      <c r="C29" s="9" t="s">
        <v>195</v>
      </c>
      <c r="D29" s="9"/>
      <c r="E29" s="9"/>
      <c r="F29" s="9"/>
      <c r="G29" s="55">
        <v>0</v>
      </c>
      <c r="H29" s="55">
        <v>0</v>
      </c>
      <c r="I29" s="55"/>
      <c r="J29" s="55">
        <v>204.1</v>
      </c>
      <c r="K29" s="55">
        <v>213</v>
      </c>
      <c r="L29" s="55"/>
      <c r="M29" s="32">
        <v>0</v>
      </c>
      <c r="N29" s="32">
        <v>0</v>
      </c>
      <c r="O29" s="32"/>
      <c r="P29" s="32"/>
      <c r="Q29" s="32"/>
      <c r="R29" s="32"/>
      <c r="S29" s="32">
        <v>19.7</v>
      </c>
      <c r="T29" s="32">
        <v>20.6</v>
      </c>
      <c r="U29" s="32"/>
      <c r="V29" s="32">
        <v>18.1</v>
      </c>
      <c r="W29" s="32">
        <v>18</v>
      </c>
      <c r="X29" s="32"/>
      <c r="Y29" s="63">
        <v>79.1</v>
      </c>
      <c r="Z29" s="63">
        <v>65.8</v>
      </c>
      <c r="AA29" s="63"/>
      <c r="AB29" s="63">
        <v>124.4</v>
      </c>
      <c r="AC29" s="63">
        <v>140.5</v>
      </c>
      <c r="AD29" s="63"/>
      <c r="AE29" s="63">
        <v>137.8</v>
      </c>
      <c r="AF29" s="63">
        <v>139.6</v>
      </c>
      <c r="AG29" s="63"/>
      <c r="AH29" s="63">
        <v>117.9</v>
      </c>
      <c r="AI29" s="63">
        <v>118.8</v>
      </c>
      <c r="AJ29" s="63"/>
      <c r="AK29" s="63"/>
      <c r="AL29" s="63"/>
      <c r="AM29" s="63"/>
      <c r="AN29" s="63">
        <v>113.5</v>
      </c>
      <c r="AO29" s="63">
        <v>104.6</v>
      </c>
      <c r="AP29" s="63"/>
      <c r="AQ29" s="63">
        <v>4.9</v>
      </c>
      <c r="AR29" s="63">
        <v>5.5</v>
      </c>
      <c r="AS29" s="63"/>
      <c r="AT29" s="32">
        <v>209.9</v>
      </c>
      <c r="AU29" s="32">
        <v>226.1</v>
      </c>
      <c r="AV29" s="32"/>
      <c r="AW29" s="32">
        <v>8.7</v>
      </c>
      <c r="AX29" s="32">
        <v>16.2</v>
      </c>
      <c r="AY29" s="32"/>
      <c r="AZ29" s="32">
        <v>20.7</v>
      </c>
      <c r="BA29" s="32">
        <v>23.5</v>
      </c>
      <c r="BB29" s="32"/>
      <c r="BC29" s="32">
        <v>59.6</v>
      </c>
      <c r="BD29" s="32">
        <v>63.9</v>
      </c>
      <c r="BE29" s="32"/>
      <c r="BF29" s="32">
        <v>35.2</v>
      </c>
      <c r="BG29" s="32">
        <v>37.9</v>
      </c>
      <c r="BH29" s="32"/>
      <c r="BI29" s="32">
        <v>22.7</v>
      </c>
      <c r="BJ29" s="32">
        <v>19</v>
      </c>
      <c r="BK29" s="32"/>
      <c r="BL29" s="32">
        <v>36.9</v>
      </c>
      <c r="BM29" s="32">
        <v>38.9</v>
      </c>
      <c r="BN29" s="32"/>
      <c r="BO29" s="32">
        <v>36.4</v>
      </c>
      <c r="BP29" s="32">
        <v>37.7</v>
      </c>
      <c r="BQ29" s="32"/>
      <c r="BR29" s="32">
        <v>58.9</v>
      </c>
      <c r="BS29" s="32">
        <v>62</v>
      </c>
      <c r="BT29" s="32"/>
      <c r="BU29" s="32">
        <v>19.9</v>
      </c>
      <c r="BV29" s="32">
        <v>27.2</v>
      </c>
      <c r="BW29" s="32"/>
      <c r="BX29" s="32">
        <v>32.8</v>
      </c>
      <c r="BY29" s="32">
        <v>27.3</v>
      </c>
      <c r="BZ29" s="32"/>
      <c r="CA29" s="32">
        <v>61.3</v>
      </c>
      <c r="CB29" s="32">
        <v>67.3</v>
      </c>
      <c r="CC29" s="32"/>
      <c r="CD29" s="32">
        <v>37.3</v>
      </c>
      <c r="CE29" s="32">
        <v>26.9</v>
      </c>
      <c r="CF29" s="32"/>
      <c r="CG29" s="32">
        <v>32.7</v>
      </c>
      <c r="CH29" s="32">
        <v>27.9</v>
      </c>
      <c r="CI29" s="32"/>
      <c r="CJ29" s="32">
        <v>61.1</v>
      </c>
      <c r="CK29" s="32">
        <v>85.3</v>
      </c>
      <c r="CL29" s="32"/>
      <c r="CM29" s="32">
        <v>60.4</v>
      </c>
      <c r="CN29" s="32">
        <v>64.4</v>
      </c>
      <c r="CO29" s="32"/>
      <c r="CP29" s="32">
        <v>6.9</v>
      </c>
      <c r="CQ29" s="32">
        <v>7.8</v>
      </c>
      <c r="CR29" s="32"/>
      <c r="CS29" s="32">
        <v>12.8</v>
      </c>
      <c r="CT29" s="32">
        <v>11.7</v>
      </c>
      <c r="CU29" s="13"/>
    </row>
    <row r="30" spans="1:99" ht="15.75">
      <c r="A30" s="142"/>
      <c r="B30" s="14" t="s">
        <v>192</v>
      </c>
      <c r="C30" s="7" t="s">
        <v>193</v>
      </c>
      <c r="D30" s="9"/>
      <c r="E30" s="9"/>
      <c r="F30" s="9"/>
      <c r="G30" s="55">
        <v>0</v>
      </c>
      <c r="H30" s="55">
        <v>0</v>
      </c>
      <c r="I30" s="55"/>
      <c r="J30" s="55">
        <v>2298</v>
      </c>
      <c r="K30" s="55">
        <v>2622</v>
      </c>
      <c r="L30" s="55">
        <v>2</v>
      </c>
      <c r="M30" s="32">
        <v>0</v>
      </c>
      <c r="N30" s="32">
        <v>0</v>
      </c>
      <c r="O30" s="32"/>
      <c r="P30" s="32"/>
      <c r="Q30" s="32"/>
      <c r="R30" s="32"/>
      <c r="S30" s="32">
        <v>63</v>
      </c>
      <c r="T30" s="32">
        <v>63</v>
      </c>
      <c r="U30" s="32">
        <v>2</v>
      </c>
      <c r="V30" s="32">
        <v>87.2</v>
      </c>
      <c r="W30" s="32">
        <v>89.8</v>
      </c>
      <c r="X30" s="32">
        <v>2</v>
      </c>
      <c r="Y30" s="63">
        <v>388</v>
      </c>
      <c r="Z30" s="63">
        <v>442</v>
      </c>
      <c r="AA30" s="63">
        <v>2</v>
      </c>
      <c r="AB30" s="63">
        <v>3192</v>
      </c>
      <c r="AC30" s="63">
        <v>5753</v>
      </c>
      <c r="AD30" s="63">
        <v>2</v>
      </c>
      <c r="AE30" s="63">
        <v>2681</v>
      </c>
      <c r="AF30" s="63">
        <v>3138</v>
      </c>
      <c r="AG30" s="63">
        <v>2</v>
      </c>
      <c r="AH30" s="63">
        <v>843</v>
      </c>
      <c r="AI30" s="63">
        <v>1020</v>
      </c>
      <c r="AJ30" s="63"/>
      <c r="AK30" s="63"/>
      <c r="AL30" s="63"/>
      <c r="AM30" s="63"/>
      <c r="AN30" s="63">
        <v>2899</v>
      </c>
      <c r="AO30" s="63">
        <v>2918</v>
      </c>
      <c r="AP30" s="63">
        <v>2</v>
      </c>
      <c r="AQ30" s="63">
        <v>48</v>
      </c>
      <c r="AR30" s="63">
        <v>81</v>
      </c>
      <c r="AS30" s="63">
        <v>2</v>
      </c>
      <c r="AT30" s="32">
        <v>8973</v>
      </c>
      <c r="AU30" s="32">
        <v>9155</v>
      </c>
      <c r="AV30" s="32">
        <v>2</v>
      </c>
      <c r="AW30" s="32">
        <v>118</v>
      </c>
      <c r="AX30" s="32">
        <v>185</v>
      </c>
      <c r="AY30" s="32">
        <v>2</v>
      </c>
      <c r="AZ30" s="32">
        <v>245</v>
      </c>
      <c r="BA30" s="32">
        <v>276</v>
      </c>
      <c r="BB30" s="32">
        <v>2</v>
      </c>
      <c r="BC30" s="32">
        <v>2422</v>
      </c>
      <c r="BD30" s="32">
        <v>2644</v>
      </c>
      <c r="BE30" s="32">
        <v>2</v>
      </c>
      <c r="BF30" s="32">
        <v>862</v>
      </c>
      <c r="BG30" s="32">
        <v>821</v>
      </c>
      <c r="BH30" s="32">
        <v>2</v>
      </c>
      <c r="BI30" s="32">
        <v>825</v>
      </c>
      <c r="BJ30" s="32">
        <v>676.6</v>
      </c>
      <c r="BK30" s="32">
        <v>2</v>
      </c>
      <c r="BL30" s="32">
        <v>1424</v>
      </c>
      <c r="BM30" s="32">
        <v>1845</v>
      </c>
      <c r="BN30" s="32">
        <v>2</v>
      </c>
      <c r="BO30" s="32">
        <v>3055</v>
      </c>
      <c r="BP30" s="32">
        <v>2335</v>
      </c>
      <c r="BQ30" s="32">
        <v>2</v>
      </c>
      <c r="BR30" s="32">
        <v>2807</v>
      </c>
      <c r="BS30" s="32">
        <v>2380</v>
      </c>
      <c r="BT30" s="32">
        <v>2</v>
      </c>
      <c r="BU30" s="32">
        <v>1736</v>
      </c>
      <c r="BV30" s="32">
        <v>1698</v>
      </c>
      <c r="BW30" s="32">
        <v>2</v>
      </c>
      <c r="BX30" s="32">
        <v>1445</v>
      </c>
      <c r="BY30" s="32">
        <v>1282</v>
      </c>
      <c r="BZ30" s="32">
        <v>2</v>
      </c>
      <c r="CA30" s="32">
        <v>5226</v>
      </c>
      <c r="CB30" s="32">
        <v>3870</v>
      </c>
      <c r="CC30" s="32">
        <v>2</v>
      </c>
      <c r="CD30" s="32">
        <v>1410</v>
      </c>
      <c r="CE30" s="32">
        <v>1557</v>
      </c>
      <c r="CF30" s="32">
        <v>2</v>
      </c>
      <c r="CG30" s="32">
        <v>1049</v>
      </c>
      <c r="CH30" s="32">
        <v>1200</v>
      </c>
      <c r="CI30" s="32">
        <v>2</v>
      </c>
      <c r="CJ30" s="32">
        <v>4507</v>
      </c>
      <c r="CK30" s="32">
        <v>5384</v>
      </c>
      <c r="CL30" s="32">
        <v>2</v>
      </c>
      <c r="CM30" s="32">
        <v>4515</v>
      </c>
      <c r="CN30" s="32">
        <v>4880</v>
      </c>
      <c r="CO30" s="32">
        <v>2</v>
      </c>
      <c r="CP30" s="32">
        <v>96</v>
      </c>
      <c r="CQ30" s="32">
        <v>98</v>
      </c>
      <c r="CR30" s="32">
        <v>2</v>
      </c>
      <c r="CS30" s="32">
        <v>39</v>
      </c>
      <c r="CT30" s="32">
        <v>22</v>
      </c>
      <c r="CU30" s="13">
        <v>2</v>
      </c>
    </row>
    <row r="31" spans="1:99" ht="15.75">
      <c r="A31" s="16" t="s">
        <v>21</v>
      </c>
      <c r="B31" s="9" t="s">
        <v>196</v>
      </c>
      <c r="C31" s="7" t="s">
        <v>197</v>
      </c>
      <c r="D31" s="9"/>
      <c r="E31" s="9"/>
      <c r="F31" s="9"/>
      <c r="G31" s="55">
        <v>0</v>
      </c>
      <c r="H31" s="55">
        <v>0</v>
      </c>
      <c r="I31" s="55"/>
      <c r="J31" s="55">
        <v>4001.7</v>
      </c>
      <c r="K31" s="55">
        <v>4049.1</v>
      </c>
      <c r="L31" s="55"/>
      <c r="M31" s="55">
        <v>0</v>
      </c>
      <c r="N31" s="55">
        <v>0</v>
      </c>
      <c r="O31" s="55"/>
      <c r="P31" s="32"/>
      <c r="Q31" s="32"/>
      <c r="R31" s="32"/>
      <c r="S31" s="32">
        <v>1897.2</v>
      </c>
      <c r="T31" s="32">
        <v>1897.2</v>
      </c>
      <c r="U31" s="32"/>
      <c r="V31" s="32">
        <v>1197.7</v>
      </c>
      <c r="W31" s="32">
        <v>1197.7</v>
      </c>
      <c r="X31" s="32"/>
      <c r="Y31" s="63">
        <v>3206.5</v>
      </c>
      <c r="Z31" s="63">
        <v>2284.8</v>
      </c>
      <c r="AA31" s="63"/>
      <c r="AB31" s="63">
        <v>5134</v>
      </c>
      <c r="AC31" s="63">
        <v>5134</v>
      </c>
      <c r="AD31" s="63"/>
      <c r="AE31" s="63">
        <v>5445.6</v>
      </c>
      <c r="AF31" s="63">
        <v>5445.6</v>
      </c>
      <c r="AG31" s="63"/>
      <c r="AH31" s="63">
        <v>2991.4</v>
      </c>
      <c r="AI31" s="63">
        <v>2991.4</v>
      </c>
      <c r="AJ31" s="63"/>
      <c r="AK31" s="63"/>
      <c r="AL31" s="63"/>
      <c r="AM31" s="63"/>
      <c r="AN31" s="63">
        <v>3870.2</v>
      </c>
      <c r="AO31" s="63">
        <v>3870.2</v>
      </c>
      <c r="AP31" s="63"/>
      <c r="AQ31" s="63">
        <v>235.1</v>
      </c>
      <c r="AR31" s="63">
        <v>235.1</v>
      </c>
      <c r="AS31" s="63"/>
      <c r="AT31" s="32">
        <v>6483.2</v>
      </c>
      <c r="AU31" s="32">
        <v>6483.2</v>
      </c>
      <c r="AV31" s="32"/>
      <c r="AW31" s="32">
        <v>1282.5</v>
      </c>
      <c r="AX31" s="32">
        <v>1282.5</v>
      </c>
      <c r="AY31" s="32"/>
      <c r="AZ31" s="32">
        <v>1493.8</v>
      </c>
      <c r="BA31" s="32">
        <v>1493.8</v>
      </c>
      <c r="BB31" s="32"/>
      <c r="BC31" s="32">
        <v>1096.9</v>
      </c>
      <c r="BD31" s="32">
        <v>1096.9</v>
      </c>
      <c r="BE31" s="32"/>
      <c r="BF31" s="32">
        <v>1168.6</v>
      </c>
      <c r="BG31" s="32">
        <v>1168.6</v>
      </c>
      <c r="BH31" s="32"/>
      <c r="BI31" s="32">
        <v>543.5</v>
      </c>
      <c r="BJ31" s="32">
        <v>543.5</v>
      </c>
      <c r="BK31" s="32"/>
      <c r="BL31" s="32">
        <v>1427.1</v>
      </c>
      <c r="BM31" s="32">
        <v>1427.1</v>
      </c>
      <c r="BN31" s="32"/>
      <c r="BO31" s="32">
        <v>831.6</v>
      </c>
      <c r="BP31" s="32">
        <v>831.6</v>
      </c>
      <c r="BQ31" s="32"/>
      <c r="BR31" s="32">
        <v>2564.6</v>
      </c>
      <c r="BS31" s="32">
        <v>2564.6</v>
      </c>
      <c r="BT31" s="32"/>
      <c r="BU31" s="32">
        <v>1801.2</v>
      </c>
      <c r="BV31" s="32">
        <v>1801.2</v>
      </c>
      <c r="BW31" s="32"/>
      <c r="BX31" s="32">
        <v>1090.3</v>
      </c>
      <c r="BY31" s="32">
        <v>1090.3</v>
      </c>
      <c r="BZ31" s="32"/>
      <c r="CA31" s="32">
        <v>2180.8</v>
      </c>
      <c r="CB31" s="32">
        <v>2180.8</v>
      </c>
      <c r="CC31" s="32"/>
      <c r="CD31" s="32">
        <v>919.4</v>
      </c>
      <c r="CE31" s="32">
        <v>919.4</v>
      </c>
      <c r="CF31" s="32"/>
      <c r="CG31" s="32">
        <v>924.7</v>
      </c>
      <c r="CH31" s="32">
        <v>924.7</v>
      </c>
      <c r="CI31" s="32"/>
      <c r="CJ31" s="32">
        <v>2618.8</v>
      </c>
      <c r="CK31" s="32">
        <v>2618.8</v>
      </c>
      <c r="CL31" s="32"/>
      <c r="CM31" s="32">
        <v>2397.5</v>
      </c>
      <c r="CN31" s="32">
        <v>2397.5</v>
      </c>
      <c r="CO31" s="32"/>
      <c r="CP31" s="32">
        <v>519.6</v>
      </c>
      <c r="CQ31" s="32">
        <v>519.6</v>
      </c>
      <c r="CR31" s="32"/>
      <c r="CS31" s="32">
        <v>501</v>
      </c>
      <c r="CT31" s="32">
        <v>501</v>
      </c>
      <c r="CU31" s="13"/>
    </row>
    <row r="32" spans="1:99" ht="47.25">
      <c r="A32" s="142" t="s">
        <v>22</v>
      </c>
      <c r="B32" s="9" t="s">
        <v>198</v>
      </c>
      <c r="C32" s="7"/>
      <c r="D32" s="9"/>
      <c r="E32" s="9"/>
      <c r="F32" s="9"/>
      <c r="G32" s="55"/>
      <c r="H32" s="55"/>
      <c r="I32" s="55"/>
      <c r="J32" s="55"/>
      <c r="K32" s="55"/>
      <c r="L32" s="55"/>
      <c r="M32" s="55"/>
      <c r="N32" s="55"/>
      <c r="O32" s="55"/>
      <c r="P32" s="32"/>
      <c r="Q32" s="32"/>
      <c r="R32" s="32"/>
      <c r="S32" s="32"/>
      <c r="T32" s="32"/>
      <c r="U32" s="32"/>
      <c r="V32" s="32"/>
      <c r="W32" s="32"/>
      <c r="X32" s="32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32"/>
      <c r="AU32" s="32"/>
      <c r="AV32" s="32"/>
      <c r="AW32" s="32"/>
      <c r="AX32" s="32"/>
      <c r="AY32" s="32"/>
      <c r="AZ32" s="32"/>
      <c r="BA32" s="32"/>
      <c r="BB32" s="32"/>
      <c r="BC32" s="71"/>
      <c r="BD32" s="71"/>
      <c r="BE32" s="71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13"/>
    </row>
    <row r="33" spans="1:99" ht="15.75">
      <c r="A33" s="142"/>
      <c r="B33" s="14" t="s">
        <v>188</v>
      </c>
      <c r="C33" s="7" t="s">
        <v>189</v>
      </c>
      <c r="D33" s="9"/>
      <c r="E33" s="9"/>
      <c r="F33" s="9"/>
      <c r="G33" s="57" t="e">
        <f>G20/G31</f>
        <v>#DIV/0!</v>
      </c>
      <c r="H33" s="57" t="e">
        <f>H20/H31</f>
        <v>#DIV/0!</v>
      </c>
      <c r="I33" s="57"/>
      <c r="J33" s="57">
        <f>J20/J31</f>
        <v>0.21230976834845192</v>
      </c>
      <c r="K33" s="57">
        <f>K20/K31</f>
        <v>0.19312933738361612</v>
      </c>
      <c r="L33" s="57"/>
      <c r="M33" s="57">
        <v>0</v>
      </c>
      <c r="N33" s="57">
        <v>0</v>
      </c>
      <c r="O33" s="57"/>
      <c r="P33" s="57" t="e">
        <f aca="true" t="shared" si="6" ref="P33:W33">P20/P31</f>
        <v>#DIV/0!</v>
      </c>
      <c r="Q33" s="57" t="e">
        <f t="shared" si="6"/>
        <v>#DIV/0!</v>
      </c>
      <c r="R33" s="57"/>
      <c r="S33" s="57">
        <f t="shared" si="6"/>
        <v>0.11216529622601729</v>
      </c>
      <c r="T33" s="57">
        <f t="shared" si="6"/>
        <v>0.09914611005692599</v>
      </c>
      <c r="U33" s="57"/>
      <c r="V33" s="57">
        <f t="shared" si="6"/>
        <v>0.21925356934123738</v>
      </c>
      <c r="W33" s="57">
        <f t="shared" si="6"/>
        <v>0.21958754279034817</v>
      </c>
      <c r="X33" s="57"/>
      <c r="Y33" s="57">
        <f aca="true" t="shared" si="7" ref="Y33:AR33">Y20/Y31</f>
        <v>0.19313893653516293</v>
      </c>
      <c r="Z33" s="57">
        <f t="shared" si="7"/>
        <v>0.15734418767507002</v>
      </c>
      <c r="AA33" s="57"/>
      <c r="AB33" s="57">
        <f t="shared" si="7"/>
        <v>0.3998831320607713</v>
      </c>
      <c r="AC33" s="57">
        <f t="shared" si="7"/>
        <v>0.2430268796260226</v>
      </c>
      <c r="AD33" s="57"/>
      <c r="AE33" s="57">
        <f t="shared" si="7"/>
        <v>0.20493609519612163</v>
      </c>
      <c r="AF33" s="57">
        <f t="shared" si="7"/>
        <v>0.17215733803437636</v>
      </c>
      <c r="AG33" s="57"/>
      <c r="AH33" s="57">
        <f t="shared" si="7"/>
        <v>0.10566958614695461</v>
      </c>
      <c r="AI33" s="57">
        <f t="shared" si="7"/>
        <v>0.10670589021862673</v>
      </c>
      <c r="AJ33" s="57"/>
      <c r="AK33" s="57" t="e">
        <f t="shared" si="7"/>
        <v>#DIV/0!</v>
      </c>
      <c r="AL33" s="57" t="e">
        <f t="shared" si="7"/>
        <v>#DIV/0!</v>
      </c>
      <c r="AM33" s="57"/>
      <c r="AN33" s="57">
        <f>AN20/AN31</f>
        <v>0.18448658984031835</v>
      </c>
      <c r="AO33" s="57">
        <f>AO20/AO31</f>
        <v>0.14919125626582605</v>
      </c>
      <c r="AP33" s="57"/>
      <c r="AQ33" s="57">
        <f t="shared" si="7"/>
        <v>0.1799234368353892</v>
      </c>
      <c r="AR33" s="57">
        <f t="shared" si="7"/>
        <v>0.12675457252233094</v>
      </c>
      <c r="AS33" s="57"/>
      <c r="AT33" s="57">
        <f aca="true" t="shared" si="8" ref="AT33:BG33">AT20/AT31</f>
        <v>0.2504627344521224</v>
      </c>
      <c r="AU33" s="57">
        <f t="shared" si="8"/>
        <v>0.1953047877591313</v>
      </c>
      <c r="AV33" s="57"/>
      <c r="AW33" s="57">
        <f t="shared" si="8"/>
        <v>0.06627680311890838</v>
      </c>
      <c r="AX33" s="57">
        <f t="shared" si="8"/>
        <v>0.1341130604288499</v>
      </c>
      <c r="AY33" s="57"/>
      <c r="AZ33" s="57">
        <f>AZ20/AZ31</f>
        <v>0.1492167626188245</v>
      </c>
      <c r="BA33" s="57">
        <f>BA20/BA31</f>
        <v>0.1682286785379569</v>
      </c>
      <c r="BB33" s="57"/>
      <c r="BC33" s="57">
        <f t="shared" si="8"/>
        <v>0.2896344242866259</v>
      </c>
      <c r="BD33" s="57">
        <f t="shared" si="8"/>
        <v>0.258637979761145</v>
      </c>
      <c r="BE33" s="57"/>
      <c r="BF33" s="57">
        <f t="shared" si="8"/>
        <v>0.18167037480746195</v>
      </c>
      <c r="BG33" s="57">
        <f t="shared" si="8"/>
        <v>0.164470306349478</v>
      </c>
      <c r="BH33" s="57"/>
      <c r="BI33" s="57">
        <f aca="true" t="shared" si="9" ref="BI33:BV33">BI20/BI31</f>
        <v>0.331738730450782</v>
      </c>
      <c r="BJ33" s="57">
        <f t="shared" si="9"/>
        <v>0.33063477460901564</v>
      </c>
      <c r="BK33" s="57"/>
      <c r="BL33" s="57">
        <f t="shared" si="9"/>
        <v>0.26613411814168597</v>
      </c>
      <c r="BM33" s="57">
        <f t="shared" si="9"/>
        <v>0.2594071894050872</v>
      </c>
      <c r="BN33" s="57"/>
      <c r="BO33" s="57">
        <f>BO20/BO31</f>
        <v>0.3005050505050505</v>
      </c>
      <c r="BP33" s="57">
        <f t="shared" si="9"/>
        <v>0.2936507936507936</v>
      </c>
      <c r="BQ33" s="57"/>
      <c r="BR33" s="57">
        <f t="shared" si="9"/>
        <v>0.17020198081572174</v>
      </c>
      <c r="BS33" s="57">
        <f t="shared" si="9"/>
        <v>0.16953910941277392</v>
      </c>
      <c r="BT33" s="57"/>
      <c r="BU33" s="57">
        <f t="shared" si="9"/>
        <v>0.11370197646013769</v>
      </c>
      <c r="BV33" s="57">
        <f t="shared" si="9"/>
        <v>0.08655340883855207</v>
      </c>
      <c r="BW33" s="57"/>
      <c r="BX33" s="57">
        <f aca="true" t="shared" si="10" ref="BX33:CH33">BX20/BX31</f>
        <v>0.2841419792717601</v>
      </c>
      <c r="BY33" s="57">
        <f t="shared" si="10"/>
        <v>0.23534806933871413</v>
      </c>
      <c r="BZ33" s="57"/>
      <c r="CA33" s="57">
        <f t="shared" si="10"/>
        <v>0.173514306676449</v>
      </c>
      <c r="CB33" s="57">
        <f t="shared" si="10"/>
        <v>0.16810344827586207</v>
      </c>
      <c r="CC33" s="57"/>
      <c r="CD33" s="57">
        <f t="shared" si="10"/>
        <v>0.3095497063302154</v>
      </c>
      <c r="CE33" s="57">
        <f t="shared" si="10"/>
        <v>0.23058516423754624</v>
      </c>
      <c r="CF33" s="57"/>
      <c r="CG33" s="57">
        <f t="shared" si="10"/>
        <v>0.2216935222234238</v>
      </c>
      <c r="CH33" s="57">
        <f t="shared" si="10"/>
        <v>0.24483616307991782</v>
      </c>
      <c r="CI33" s="57"/>
      <c r="CJ33" s="57">
        <f aca="true" t="shared" si="11" ref="CJ33:CT33">CJ20/CJ31</f>
        <v>0.20753780357415608</v>
      </c>
      <c r="CK33" s="57">
        <f t="shared" si="11"/>
        <v>0.27039101878723076</v>
      </c>
      <c r="CL33" s="57"/>
      <c r="CM33" s="57">
        <f t="shared" si="11"/>
        <v>0.2828779979144943</v>
      </c>
      <c r="CN33" s="57">
        <f t="shared" si="11"/>
        <v>0.25438998957247133</v>
      </c>
      <c r="CO33" s="57"/>
      <c r="CP33" s="57">
        <f t="shared" si="11"/>
        <v>0.2086220169361047</v>
      </c>
      <c r="CQ33" s="57">
        <f t="shared" si="11"/>
        <v>0.21189376443418012</v>
      </c>
      <c r="CR33" s="57"/>
      <c r="CS33" s="57">
        <f t="shared" si="11"/>
        <v>0.1722554890219561</v>
      </c>
      <c r="CT33" s="57">
        <f t="shared" si="11"/>
        <v>0.17964071856287425</v>
      </c>
      <c r="CU33" s="13"/>
    </row>
    <row r="34" spans="1:99" ht="15.75" customHeight="1">
      <c r="A34" s="142"/>
      <c r="B34" s="14" t="s">
        <v>190</v>
      </c>
      <c r="C34" s="9" t="s">
        <v>275</v>
      </c>
      <c r="D34" s="9"/>
      <c r="E34" s="9"/>
      <c r="F34" s="9"/>
      <c r="G34" s="57" t="e">
        <f>G21/G31</f>
        <v>#DIV/0!</v>
      </c>
      <c r="H34" s="57" t="e">
        <f>H21/H31</f>
        <v>#DIV/0!</v>
      </c>
      <c r="I34" s="57"/>
      <c r="J34" s="57">
        <f>J21/J31</f>
        <v>0.05100332358747532</v>
      </c>
      <c r="K34" s="57">
        <f>K21/K31</f>
        <v>0.05260428243313329</v>
      </c>
      <c r="L34" s="57"/>
      <c r="M34" s="57">
        <v>0</v>
      </c>
      <c r="N34" s="57">
        <v>0</v>
      </c>
      <c r="O34" s="57"/>
      <c r="P34" s="57" t="e">
        <f aca="true" t="shared" si="12" ref="P34:W34">P21/P31</f>
        <v>#DIV/0!</v>
      </c>
      <c r="Q34" s="57" t="e">
        <f t="shared" si="12"/>
        <v>#DIV/0!</v>
      </c>
      <c r="R34" s="57"/>
      <c r="S34" s="57">
        <f t="shared" si="12"/>
        <v>0.010383723381825848</v>
      </c>
      <c r="T34" s="57">
        <f t="shared" si="12"/>
        <v>0.010858106683533628</v>
      </c>
      <c r="U34" s="57"/>
      <c r="V34" s="57">
        <f>V21/V31</f>
        <v>0.015112298572263505</v>
      </c>
      <c r="W34" s="57">
        <f t="shared" si="12"/>
        <v>0.015028805209985806</v>
      </c>
      <c r="X34" s="57"/>
      <c r="Y34" s="57">
        <f aca="true" t="shared" si="13" ref="Y34:AR34">Y21/Y31</f>
        <v>0.02466864182130048</v>
      </c>
      <c r="Z34" s="57">
        <f t="shared" si="13"/>
        <v>0.028799019607843132</v>
      </c>
      <c r="AA34" s="57"/>
      <c r="AB34" s="57">
        <f t="shared" si="13"/>
        <v>0.024230619400077914</v>
      </c>
      <c r="AC34" s="57">
        <f t="shared" si="13"/>
        <v>0.0273665757693806</v>
      </c>
      <c r="AD34" s="57"/>
      <c r="AE34" s="57">
        <f t="shared" si="13"/>
        <v>0.025304833259879537</v>
      </c>
      <c r="AF34" s="57">
        <f t="shared" si="13"/>
        <v>0.025635375348905535</v>
      </c>
      <c r="AG34" s="57"/>
      <c r="AH34" s="57">
        <f t="shared" si="13"/>
        <v>0.03941298388714314</v>
      </c>
      <c r="AI34" s="57">
        <f t="shared" si="13"/>
        <v>0.039713846359564084</v>
      </c>
      <c r="AJ34" s="57"/>
      <c r="AK34" s="57" t="e">
        <f t="shared" si="13"/>
        <v>#DIV/0!</v>
      </c>
      <c r="AL34" s="57" t="e">
        <f t="shared" si="13"/>
        <v>#DIV/0!</v>
      </c>
      <c r="AM34" s="57"/>
      <c r="AN34" s="57">
        <f>AN21/AN31</f>
        <v>0.0293266497855408</v>
      </c>
      <c r="AO34" s="57">
        <f>AO21/AO31</f>
        <v>0.02702702702702703</v>
      </c>
      <c r="AP34" s="57"/>
      <c r="AQ34" s="57">
        <f t="shared" si="13"/>
        <v>0.020842194810718844</v>
      </c>
      <c r="AR34" s="57">
        <f t="shared" si="13"/>
        <v>0.02339430029774564</v>
      </c>
      <c r="AS34" s="57"/>
      <c r="AT34" s="57">
        <f aca="true" t="shared" si="14" ref="AT34:BG34">AT21/AT31</f>
        <v>0.0323759871668312</v>
      </c>
      <c r="AU34" s="57">
        <f t="shared" si="14"/>
        <v>0.034874753208292204</v>
      </c>
      <c r="AV34" s="57"/>
      <c r="AW34" s="57">
        <f t="shared" si="14"/>
        <v>0.006783625730994151</v>
      </c>
      <c r="AX34" s="57">
        <f t="shared" si="14"/>
        <v>0.01263157894736842</v>
      </c>
      <c r="AY34" s="57"/>
      <c r="AZ34" s="57">
        <f>AZ21/AZ31</f>
        <v>0.013857276743874682</v>
      </c>
      <c r="BA34" s="57">
        <f>BA21/BA31</f>
        <v>0.01573169098942295</v>
      </c>
      <c r="BB34" s="57"/>
      <c r="BC34" s="57">
        <f t="shared" si="14"/>
        <v>0.05433494393290181</v>
      </c>
      <c r="BD34" s="57">
        <f t="shared" si="14"/>
        <v>0.05825508250524204</v>
      </c>
      <c r="BE34" s="57"/>
      <c r="BF34" s="57">
        <f t="shared" si="14"/>
        <v>0.03012151292144447</v>
      </c>
      <c r="BG34" s="57">
        <f t="shared" si="14"/>
        <v>0.03243196987848708</v>
      </c>
      <c r="BH34" s="57"/>
      <c r="BI34" s="57">
        <f aca="true" t="shared" si="15" ref="BI34:BV34">BI21/BI31</f>
        <v>0.04176632934682613</v>
      </c>
      <c r="BJ34" s="57">
        <f t="shared" si="15"/>
        <v>0.034958601655933765</v>
      </c>
      <c r="BK34" s="57"/>
      <c r="BL34" s="57">
        <f t="shared" si="15"/>
        <v>0.02585663233130124</v>
      </c>
      <c r="BM34" s="57">
        <f t="shared" si="15"/>
        <v>0.027258075818092635</v>
      </c>
      <c r="BN34" s="57"/>
      <c r="BO34" s="57">
        <f t="shared" si="15"/>
        <v>0.043771043771043766</v>
      </c>
      <c r="BP34" s="57">
        <f t="shared" si="15"/>
        <v>0.04533429533429534</v>
      </c>
      <c r="BQ34" s="57"/>
      <c r="BR34" s="57">
        <f t="shared" si="15"/>
        <v>0.02296654449036887</v>
      </c>
      <c r="BS34" s="57">
        <f t="shared" si="15"/>
        <v>0.02417530998986197</v>
      </c>
      <c r="BT34" s="57"/>
      <c r="BU34" s="57">
        <f t="shared" si="15"/>
        <v>0.011048190095491893</v>
      </c>
      <c r="BV34" s="57">
        <f t="shared" si="15"/>
        <v>0.015101043748612035</v>
      </c>
      <c r="BW34" s="57"/>
      <c r="BX34" s="57">
        <f aca="true" t="shared" si="16" ref="BX34:CH34">BX21/BX31</f>
        <v>0.030083463266990736</v>
      </c>
      <c r="BY34" s="57">
        <f t="shared" si="16"/>
        <v>0.02503898009722095</v>
      </c>
      <c r="BZ34" s="57"/>
      <c r="CA34" s="57">
        <f t="shared" si="16"/>
        <v>0.028108950843727068</v>
      </c>
      <c r="CB34" s="57">
        <f t="shared" si="16"/>
        <v>0.030860234776228904</v>
      </c>
      <c r="CC34" s="57"/>
      <c r="CD34" s="57">
        <f t="shared" si="16"/>
        <v>0.04056993691537959</v>
      </c>
      <c r="CE34" s="57">
        <f t="shared" si="16"/>
        <v>0.02925821187731129</v>
      </c>
      <c r="CF34" s="57"/>
      <c r="CG34" s="57">
        <f t="shared" si="16"/>
        <v>0.03536282037417541</v>
      </c>
      <c r="CH34" s="57">
        <f t="shared" si="16"/>
        <v>0.030171947658700116</v>
      </c>
      <c r="CI34" s="57"/>
      <c r="CJ34" s="57">
        <f aca="true" t="shared" si="17" ref="CJ34:CT34">CJ21/CJ31</f>
        <v>0.02333129677714984</v>
      </c>
      <c r="CK34" s="57">
        <f t="shared" si="17"/>
        <v>0.03257217045975255</v>
      </c>
      <c r="CL34" s="57"/>
      <c r="CM34" s="57">
        <f t="shared" si="17"/>
        <v>0.02519290928050052</v>
      </c>
      <c r="CN34" s="57">
        <f t="shared" si="17"/>
        <v>0.02686131386861314</v>
      </c>
      <c r="CO34" s="57"/>
      <c r="CP34" s="57">
        <f t="shared" si="17"/>
        <v>0.013279445727482679</v>
      </c>
      <c r="CQ34" s="57">
        <f t="shared" si="17"/>
        <v>0.015011547344110853</v>
      </c>
      <c r="CR34" s="57"/>
      <c r="CS34" s="57">
        <f t="shared" si="17"/>
        <v>0.025548902195608784</v>
      </c>
      <c r="CT34" s="57">
        <f t="shared" si="17"/>
        <v>0.023353293413173652</v>
      </c>
      <c r="CU34" s="13"/>
    </row>
    <row r="35" spans="1:99" ht="15" customHeight="1">
      <c r="A35" s="142"/>
      <c r="B35" s="14" t="s">
        <v>192</v>
      </c>
      <c r="C35" s="7" t="s">
        <v>193</v>
      </c>
      <c r="D35" s="9"/>
      <c r="E35" s="9"/>
      <c r="F35" s="9"/>
      <c r="G35" s="57" t="e">
        <f>G22/G31</f>
        <v>#DIV/0!</v>
      </c>
      <c r="H35" s="57" t="e">
        <f>H22/H31</f>
        <v>#DIV/0!</v>
      </c>
      <c r="I35" s="57"/>
      <c r="J35" s="57">
        <f>J22/J31</f>
        <v>0.5742559412249794</v>
      </c>
      <c r="K35" s="57">
        <f>K22/K31</f>
        <v>0.647551307698007</v>
      </c>
      <c r="L35" s="57"/>
      <c r="M35" s="57">
        <v>0</v>
      </c>
      <c r="N35" s="57">
        <v>0</v>
      </c>
      <c r="O35" s="57"/>
      <c r="P35" s="57" t="e">
        <f aca="true" t="shared" si="18" ref="P35:W35">P22/P31</f>
        <v>#DIV/0!</v>
      </c>
      <c r="Q35" s="57" t="e">
        <f t="shared" si="18"/>
        <v>#DIV/0!</v>
      </c>
      <c r="R35" s="57"/>
      <c r="S35" s="57">
        <f t="shared" si="18"/>
        <v>0.03320683111954459</v>
      </c>
      <c r="T35" s="57">
        <f t="shared" si="18"/>
        <v>0.03320683111954459</v>
      </c>
      <c r="U35" s="57"/>
      <c r="V35" s="57">
        <f t="shared" si="18"/>
        <v>0.07280621190615345</v>
      </c>
      <c r="W35" s="57">
        <f t="shared" si="18"/>
        <v>0.07497703932537363</v>
      </c>
      <c r="X35" s="57"/>
      <c r="Y35" s="57">
        <f aca="true" t="shared" si="19" ref="Y35:AR35">Y22/Y31</f>
        <v>0.12100421019803524</v>
      </c>
      <c r="Z35" s="57">
        <f t="shared" si="19"/>
        <v>0.19345238095238093</v>
      </c>
      <c r="AA35" s="57"/>
      <c r="AB35" s="57">
        <f t="shared" si="19"/>
        <v>0.6217374366965329</v>
      </c>
      <c r="AC35" s="57">
        <f t="shared" si="19"/>
        <v>1.1205687573042462</v>
      </c>
      <c r="AD35" s="57"/>
      <c r="AE35" s="57">
        <f t="shared" si="19"/>
        <v>0.4923240781548406</v>
      </c>
      <c r="AF35" s="57">
        <f t="shared" si="19"/>
        <v>0.5762450418686645</v>
      </c>
      <c r="AG35" s="57"/>
      <c r="AH35" s="57">
        <f t="shared" si="19"/>
        <v>0.6298054422678344</v>
      </c>
      <c r="AI35" s="57">
        <f t="shared" si="19"/>
        <v>0.645517149160928</v>
      </c>
      <c r="AJ35" s="57"/>
      <c r="AK35" s="57" t="e">
        <f t="shared" si="19"/>
        <v>#DIV/0!</v>
      </c>
      <c r="AL35" s="57" t="e">
        <f t="shared" si="19"/>
        <v>#DIV/0!</v>
      </c>
      <c r="AM35" s="57"/>
      <c r="AN35" s="57">
        <f>AN22/AN31</f>
        <v>0.7490568962844297</v>
      </c>
      <c r="AO35" s="57">
        <f>AO22/AO31</f>
        <v>0.7539662032969873</v>
      </c>
      <c r="AP35" s="57"/>
      <c r="AQ35" s="57">
        <f t="shared" si="19"/>
        <v>0.20416843896214376</v>
      </c>
      <c r="AR35" s="57">
        <f t="shared" si="19"/>
        <v>0.3445342407486176</v>
      </c>
      <c r="AS35" s="57"/>
      <c r="AT35" s="57">
        <f aca="true" t="shared" si="20" ref="AT35:BG35">AT22/AT31</f>
        <v>1.3840387462981245</v>
      </c>
      <c r="AU35" s="57">
        <f t="shared" si="20"/>
        <v>1.4121113030602173</v>
      </c>
      <c r="AV35" s="57"/>
      <c r="AW35" s="57">
        <f t="shared" si="20"/>
        <v>0.09200779727095516</v>
      </c>
      <c r="AX35" s="57">
        <f t="shared" si="20"/>
        <v>0.1442495126705653</v>
      </c>
      <c r="AY35" s="57"/>
      <c r="AZ35" s="57">
        <f>AZ22/AZ31</f>
        <v>0.1640112464854733</v>
      </c>
      <c r="BA35" s="57">
        <f>BA22/BA31</f>
        <v>0.1847636899183291</v>
      </c>
      <c r="BB35" s="57"/>
      <c r="BC35" s="57">
        <f t="shared" si="20"/>
        <v>2.2080408423739626</v>
      </c>
      <c r="BD35" s="57">
        <f t="shared" si="20"/>
        <v>2.410429391922691</v>
      </c>
      <c r="BE35" s="57"/>
      <c r="BF35" s="57">
        <f t="shared" si="20"/>
        <v>0.7376347766558276</v>
      </c>
      <c r="BG35" s="57">
        <f t="shared" si="20"/>
        <v>0.7025500599007359</v>
      </c>
      <c r="BH35" s="57"/>
      <c r="BI35" s="57">
        <f aca="true" t="shared" si="21" ref="BI35:BV35">BI22/BI31</f>
        <v>1.5179392824287028</v>
      </c>
      <c r="BJ35" s="57">
        <f t="shared" si="21"/>
        <v>1.2448942042318307</v>
      </c>
      <c r="BK35" s="57"/>
      <c r="BL35" s="57">
        <f t="shared" si="21"/>
        <v>0.9978277625954735</v>
      </c>
      <c r="BM35" s="57">
        <f t="shared" si="21"/>
        <v>1.2928316165650622</v>
      </c>
      <c r="BN35" s="57"/>
      <c r="BO35" s="57">
        <f t="shared" si="21"/>
        <v>3.6736411736411734</v>
      </c>
      <c r="BP35" s="57">
        <f t="shared" si="21"/>
        <v>2.8078403078403076</v>
      </c>
      <c r="BQ35" s="57"/>
      <c r="BR35" s="57">
        <f t="shared" si="21"/>
        <v>1.0945176635732667</v>
      </c>
      <c r="BS35" s="57">
        <f t="shared" si="21"/>
        <v>0.9280199641269594</v>
      </c>
      <c r="BT35" s="57"/>
      <c r="BU35" s="57">
        <f t="shared" si="21"/>
        <v>0.9638019098378858</v>
      </c>
      <c r="BV35" s="57">
        <f t="shared" si="21"/>
        <v>0.9427048634243838</v>
      </c>
      <c r="BW35" s="57"/>
      <c r="BX35" s="57">
        <f aca="true" t="shared" si="22" ref="BX35:CH35">BX22/BX31</f>
        <v>1.3253233055122444</v>
      </c>
      <c r="BY35" s="57">
        <f t="shared" si="22"/>
        <v>1.1758231679354307</v>
      </c>
      <c r="BZ35" s="57"/>
      <c r="CA35" s="57">
        <f t="shared" si="22"/>
        <v>2.3963683052090974</v>
      </c>
      <c r="CB35" s="57">
        <f t="shared" si="22"/>
        <v>1.774578136463683</v>
      </c>
      <c r="CC35" s="57"/>
      <c r="CD35" s="57">
        <f t="shared" si="22"/>
        <v>1.5336088753534916</v>
      </c>
      <c r="CE35" s="57">
        <f t="shared" si="22"/>
        <v>1.6934957581031107</v>
      </c>
      <c r="CF35" s="57"/>
      <c r="CG35" s="57">
        <f t="shared" si="22"/>
        <v>1.1344219746944955</v>
      </c>
      <c r="CH35" s="57">
        <f t="shared" si="22"/>
        <v>1.2977181788688223</v>
      </c>
      <c r="CI35" s="57"/>
      <c r="CJ35" s="57">
        <f aca="true" t="shared" si="23" ref="CJ35:CT35">CJ22/CJ31</f>
        <v>1.721017259813655</v>
      </c>
      <c r="CK35" s="57">
        <f t="shared" si="23"/>
        <v>2.0559034672369023</v>
      </c>
      <c r="CL35" s="57"/>
      <c r="CM35" s="57">
        <f t="shared" si="23"/>
        <v>1.8832116788321167</v>
      </c>
      <c r="CN35" s="57">
        <f t="shared" si="23"/>
        <v>2.0354535974973933</v>
      </c>
      <c r="CO35" s="57"/>
      <c r="CP35" s="57">
        <f t="shared" si="23"/>
        <v>0.18475750577367206</v>
      </c>
      <c r="CQ35" s="57">
        <f t="shared" si="23"/>
        <v>0.1886066204772902</v>
      </c>
      <c r="CR35" s="57"/>
      <c r="CS35" s="57">
        <f t="shared" si="23"/>
        <v>0.07784431137724551</v>
      </c>
      <c r="CT35" s="57">
        <f t="shared" si="23"/>
        <v>0.043912175648702596</v>
      </c>
      <c r="CU35" s="13"/>
    </row>
    <row r="36" spans="1:99" ht="47.25">
      <c r="A36" s="142" t="s">
        <v>23</v>
      </c>
      <c r="B36" s="9" t="s">
        <v>199</v>
      </c>
      <c r="C36" s="7"/>
      <c r="D36" s="9"/>
      <c r="E36" s="9"/>
      <c r="F36" s="9"/>
      <c r="G36" s="55"/>
      <c r="H36" s="55"/>
      <c r="I36" s="55"/>
      <c r="J36" s="55"/>
      <c r="K36" s="55"/>
      <c r="L36" s="55"/>
      <c r="M36" s="55"/>
      <c r="N36" s="55"/>
      <c r="O36" s="55"/>
      <c r="P36" s="32"/>
      <c r="Q36" s="32"/>
      <c r="R36" s="32"/>
      <c r="S36" s="32"/>
      <c r="T36" s="32"/>
      <c r="U36" s="32"/>
      <c r="V36" s="32"/>
      <c r="W36" s="32"/>
      <c r="X36" s="32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32"/>
      <c r="AU36" s="32"/>
      <c r="AV36" s="32"/>
      <c r="AW36" s="32"/>
      <c r="AX36" s="32"/>
      <c r="AY36" s="32"/>
      <c r="AZ36" s="32"/>
      <c r="BA36" s="32"/>
      <c r="BB36" s="32"/>
      <c r="BC36" s="71"/>
      <c r="BD36" s="71"/>
      <c r="BE36" s="71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13"/>
    </row>
    <row r="37" spans="1:99" ht="15.75">
      <c r="A37" s="142"/>
      <c r="B37" s="14" t="s">
        <v>188</v>
      </c>
      <c r="C37" s="7" t="s">
        <v>189</v>
      </c>
      <c r="D37" s="9"/>
      <c r="E37" s="9"/>
      <c r="F37" s="9"/>
      <c r="G37" s="57">
        <f aca="true" t="shared" si="24" ref="G37:N37">G20/37</f>
        <v>0</v>
      </c>
      <c r="H37" s="57">
        <f t="shared" si="24"/>
        <v>0</v>
      </c>
      <c r="I37" s="57"/>
      <c r="J37" s="57">
        <f>J20/74</f>
        <v>11.481081081081081</v>
      </c>
      <c r="K37" s="57">
        <f>K20/73</f>
        <v>10.712328767123287</v>
      </c>
      <c r="L37" s="57"/>
      <c r="M37" s="57">
        <f t="shared" si="24"/>
        <v>0</v>
      </c>
      <c r="N37" s="57">
        <f t="shared" si="24"/>
        <v>0</v>
      </c>
      <c r="O37" s="57"/>
      <c r="P37" s="57">
        <f>P20/37</f>
        <v>0</v>
      </c>
      <c r="Q37" s="57">
        <f>Q20/33</f>
        <v>0</v>
      </c>
      <c r="R37" s="57"/>
      <c r="S37" s="57">
        <f>S20/30</f>
        <v>7.093333333333334</v>
      </c>
      <c r="T37" s="57">
        <f>T20/31</f>
        <v>6.067741935483871</v>
      </c>
      <c r="U37" s="57"/>
      <c r="V37" s="57">
        <f>V20/30</f>
        <v>8.753333333333334</v>
      </c>
      <c r="W37" s="57">
        <f>W20/28.4</f>
        <v>9.26056338028169</v>
      </c>
      <c r="X37" s="57"/>
      <c r="Y37" s="57">
        <f>Y20/635.3</f>
        <v>0.9748150480088147</v>
      </c>
      <c r="Z37" s="57">
        <f>Z20/634.5</f>
        <v>0.5665878644602049</v>
      </c>
      <c r="AA37" s="57"/>
      <c r="AB37" s="57">
        <f>AB20/91.7</f>
        <v>22.388222464558343</v>
      </c>
      <c r="AC37" s="57">
        <f>AC20/92.8</f>
        <v>13.445043103448278</v>
      </c>
      <c r="AD37" s="57"/>
      <c r="AE37" s="57">
        <f>AE20/587.8</f>
        <v>1.8986049676760806</v>
      </c>
      <c r="AF37" s="57">
        <f>AF20/589.7</f>
        <v>1.5897914193657792</v>
      </c>
      <c r="AG37" s="57"/>
      <c r="AH37" s="57">
        <f>AH20/627</f>
        <v>0.50414673046252</v>
      </c>
      <c r="AI37" s="57">
        <f>AI20/641</f>
        <v>0.49797191887675507</v>
      </c>
      <c r="AJ37" s="57"/>
      <c r="AK37" s="57">
        <f>AK20/98</f>
        <v>0</v>
      </c>
      <c r="AL37" s="57">
        <f>AL20/94</f>
        <v>0</v>
      </c>
      <c r="AM37" s="57"/>
      <c r="AN37" s="57">
        <f>AN20/961.4</f>
        <v>0.7426669440399418</v>
      </c>
      <c r="AO37" s="57">
        <f>AO20/963.2</f>
        <v>0.5994601328903654</v>
      </c>
      <c r="AP37" s="57"/>
      <c r="AQ37" s="57">
        <f aca="true" t="shared" si="25" ref="AQ37:AR39">AQ20/13.2</f>
        <v>3.2045454545454546</v>
      </c>
      <c r="AR37" s="57">
        <f t="shared" si="25"/>
        <v>2.257575757575758</v>
      </c>
      <c r="AS37" s="57"/>
      <c r="AT37" s="57">
        <f>AT20/755.2</f>
        <v>2.1501588983050848</v>
      </c>
      <c r="AU37" s="57">
        <f>AU20/825.3</f>
        <v>1.5342299769780687</v>
      </c>
      <c r="AV37" s="57"/>
      <c r="AW37" s="57">
        <f>AW20/485</f>
        <v>0.17525773195876287</v>
      </c>
      <c r="AX37" s="57">
        <f>AX20/481</f>
        <v>0.3575883575883576</v>
      </c>
      <c r="AY37" s="57"/>
      <c r="AZ37" s="57">
        <f>AZ20/1597.5</f>
        <v>0.13953051643192488</v>
      </c>
      <c r="BA37" s="57">
        <f>BA20/1632.7</f>
        <v>0.1539168248912844</v>
      </c>
      <c r="BB37" s="57"/>
      <c r="BC37" s="57">
        <f>BC20/167.8</f>
        <v>1.8933253873659115</v>
      </c>
      <c r="BD37" s="57">
        <f>BD20/170.4</f>
        <v>1.6649061032863848</v>
      </c>
      <c r="BE37" s="57"/>
      <c r="BF37" s="57">
        <f>BF20/111</f>
        <v>1.9126126126126126</v>
      </c>
      <c r="BG37" s="57">
        <f>BG20/110</f>
        <v>1.747272727272727</v>
      </c>
      <c r="BH37" s="57"/>
      <c r="BI37" s="57">
        <f>BI20/86.3</f>
        <v>2.089223638470452</v>
      </c>
      <c r="BJ37" s="57">
        <f>BJ20/93.3</f>
        <v>1.9260450160771703</v>
      </c>
      <c r="BK37" s="57"/>
      <c r="BL37" s="57">
        <f>BL20/232.2</f>
        <v>1.6356589147286822</v>
      </c>
      <c r="BM37" s="57">
        <f>BM20/228</f>
        <v>1.6236842105263158</v>
      </c>
      <c r="BN37" s="57"/>
      <c r="BO37" s="57">
        <f>BO20/164.8</f>
        <v>1.516383495145631</v>
      </c>
      <c r="BP37" s="57">
        <f>BP20/164.5</f>
        <v>1.4844984802431611</v>
      </c>
      <c r="BQ37" s="57"/>
      <c r="BR37" s="57">
        <f>BR20/267.2</f>
        <v>1.6336077844311379</v>
      </c>
      <c r="BS37" s="57">
        <f>BS20/285.4</f>
        <v>1.5234758234057464</v>
      </c>
      <c r="BT37" s="57"/>
      <c r="BU37" s="57">
        <f>BU20/136.1</f>
        <v>1.5047759000734755</v>
      </c>
      <c r="BV37" s="57">
        <f>BV20/123.8</f>
        <v>1.2592891760904685</v>
      </c>
      <c r="BW37" s="57"/>
      <c r="BX37" s="57">
        <f>BX20/171.2</f>
        <v>1.8095794392523366</v>
      </c>
      <c r="BY37" s="57">
        <f>BY20/166.9</f>
        <v>1.537447573397244</v>
      </c>
      <c r="BZ37" s="57"/>
      <c r="CA37" s="57">
        <f>CA20/278.9</f>
        <v>1.3567586948727142</v>
      </c>
      <c r="CB37" s="57">
        <f>CB20/304.3</f>
        <v>1.2047321721984883</v>
      </c>
      <c r="CC37" s="57"/>
      <c r="CD37" s="57">
        <f>CD20/162.8</f>
        <v>1.7481572481572483</v>
      </c>
      <c r="CE37" s="57">
        <f>CE20/160.2</f>
        <v>1.3233458177278403</v>
      </c>
      <c r="CF37" s="57"/>
      <c r="CG37" s="57">
        <f>CG20/165.6</f>
        <v>1.2379227053140096</v>
      </c>
      <c r="CH37" s="57">
        <f>CH20/160.7</f>
        <v>1.4088363410080897</v>
      </c>
      <c r="CI37" s="57"/>
      <c r="CJ37" s="57">
        <f>CJ20/335.4</f>
        <v>1.6204531902206323</v>
      </c>
      <c r="CK37" s="57">
        <f>CK20/443</f>
        <v>1.5984198645598195</v>
      </c>
      <c r="CL37" s="57"/>
      <c r="CM37" s="57">
        <f>CM20/285.4</f>
        <v>2.376313945339874</v>
      </c>
      <c r="CN37" s="57">
        <f>CN20/318.5</f>
        <v>1.9149136577708006</v>
      </c>
      <c r="CO37" s="57"/>
      <c r="CP37" s="57">
        <f>CP20/290.9</f>
        <v>0.372636644895153</v>
      </c>
      <c r="CQ37" s="57">
        <f>CQ20/255.2</f>
        <v>0.43142633228840127</v>
      </c>
      <c r="CR37" s="57"/>
      <c r="CS37" s="57">
        <f>CS20/374</f>
        <v>0.23074866310160427</v>
      </c>
      <c r="CT37" s="57">
        <f>CT20/334.7</f>
        <v>0.268897520167314</v>
      </c>
      <c r="CU37" s="13"/>
    </row>
    <row r="38" spans="1:99" ht="17.25" customHeight="1">
      <c r="A38" s="142"/>
      <c r="B38" s="14" t="s">
        <v>190</v>
      </c>
      <c r="C38" s="7" t="s">
        <v>191</v>
      </c>
      <c r="D38" s="9"/>
      <c r="E38" s="9"/>
      <c r="F38" s="9"/>
      <c r="G38" s="57">
        <f aca="true" t="shared" si="26" ref="G38:N38">G21/37</f>
        <v>0</v>
      </c>
      <c r="H38" s="57">
        <f t="shared" si="26"/>
        <v>0</v>
      </c>
      <c r="I38" s="57"/>
      <c r="J38" s="57">
        <f>J21/74</f>
        <v>2.7581081081081082</v>
      </c>
      <c r="K38" s="57">
        <f>K21/73</f>
        <v>2.9178082191780823</v>
      </c>
      <c r="L38" s="57"/>
      <c r="M38" s="57">
        <f t="shared" si="26"/>
        <v>0</v>
      </c>
      <c r="N38" s="57">
        <f t="shared" si="26"/>
        <v>0</v>
      </c>
      <c r="O38" s="57"/>
      <c r="P38" s="57">
        <f>P21/37</f>
        <v>0</v>
      </c>
      <c r="Q38" s="57">
        <f>Q21/33</f>
        <v>0</v>
      </c>
      <c r="R38" s="57"/>
      <c r="S38" s="57">
        <f>S21/30</f>
        <v>0.6566666666666666</v>
      </c>
      <c r="T38" s="57">
        <f>T21/31</f>
        <v>0.6645161290322581</v>
      </c>
      <c r="U38" s="57"/>
      <c r="V38" s="57">
        <f>V21/30</f>
        <v>0.6033333333333334</v>
      </c>
      <c r="W38" s="57">
        <f>W21/28.4</f>
        <v>0.6338028169014085</v>
      </c>
      <c r="X38" s="57"/>
      <c r="Y38" s="57">
        <f>Y21/635.3</f>
        <v>0.12450810640642217</v>
      </c>
      <c r="Z38" s="57">
        <f>Z21/634.5</f>
        <v>0.1037037037037037</v>
      </c>
      <c r="AA38" s="57"/>
      <c r="AB38" s="57">
        <f>AB21/91.7</f>
        <v>1.35659760087241</v>
      </c>
      <c r="AC38" s="57">
        <f>AC21/92.8</f>
        <v>1.5140086206896552</v>
      </c>
      <c r="AD38" s="57"/>
      <c r="AE38" s="57">
        <f>AE21/587.8</f>
        <v>0.2344334807757741</v>
      </c>
      <c r="AF38" s="57">
        <f>AF21/589.7</f>
        <v>0.23673054095302692</v>
      </c>
      <c r="AG38" s="57"/>
      <c r="AH38" s="57">
        <f>AH21/627</f>
        <v>0.18803827751196173</v>
      </c>
      <c r="AI38" s="57">
        <f>AI21/641</f>
        <v>0.18533541341653667</v>
      </c>
      <c r="AJ38" s="57"/>
      <c r="AK38" s="57">
        <f>AK21/98</f>
        <v>0</v>
      </c>
      <c r="AL38" s="57">
        <f>AL21/94</f>
        <v>0</v>
      </c>
      <c r="AM38" s="57"/>
      <c r="AN38" s="57">
        <f>AN21/961.4</f>
        <v>0.11805700020802996</v>
      </c>
      <c r="AO38" s="57">
        <f>AO21/963.2</f>
        <v>0.10859634551495015</v>
      </c>
      <c r="AP38" s="57"/>
      <c r="AQ38" s="57">
        <f t="shared" si="25"/>
        <v>0.37121212121212127</v>
      </c>
      <c r="AR38" s="57">
        <f t="shared" si="25"/>
        <v>0.4166666666666667</v>
      </c>
      <c r="AS38" s="57"/>
      <c r="AT38" s="57">
        <f>AT21/755.2</f>
        <v>0.2779396186440678</v>
      </c>
      <c r="AU38" s="57">
        <f>AU21/825.3</f>
        <v>0.273960983884648</v>
      </c>
      <c r="AV38" s="57"/>
      <c r="AW38" s="57">
        <f>AW21/485</f>
        <v>0.017938144329896905</v>
      </c>
      <c r="AX38" s="57">
        <f>AX21/481</f>
        <v>0.03367983367983368</v>
      </c>
      <c r="AY38" s="57"/>
      <c r="AZ38" s="57">
        <f>AZ21/1597.5</f>
        <v>0.012957746478873239</v>
      </c>
      <c r="BA38" s="57">
        <f>BA21/1632.7</f>
        <v>0.014393336191584491</v>
      </c>
      <c r="BB38" s="57"/>
      <c r="BC38" s="57">
        <f>BC21/167.8</f>
        <v>0.35518474374255066</v>
      </c>
      <c r="BD38" s="57">
        <f>BD21/170.4</f>
        <v>0.375</v>
      </c>
      <c r="BE38" s="57"/>
      <c r="BF38" s="57">
        <f>BF21/111</f>
        <v>0.31711711711711715</v>
      </c>
      <c r="BG38" s="57">
        <f>BG21/110</f>
        <v>0.34454545454545454</v>
      </c>
      <c r="BH38" s="57"/>
      <c r="BI38" s="57">
        <f>BI21/86.3</f>
        <v>0.2630359212050985</v>
      </c>
      <c r="BJ38" s="57">
        <f>BJ21/93.3</f>
        <v>0.20364415862808147</v>
      </c>
      <c r="BK38" s="57"/>
      <c r="BL38" s="57">
        <f>BL21/232.2</f>
        <v>0.15891472868217055</v>
      </c>
      <c r="BM38" s="57">
        <f>BM21/228</f>
        <v>0.1706140350877193</v>
      </c>
      <c r="BN38" s="57"/>
      <c r="BO38" s="57">
        <f>BO21/164.8</f>
        <v>0.22087378640776698</v>
      </c>
      <c r="BP38" s="57">
        <f>BP21/164.5</f>
        <v>0.2291793313069909</v>
      </c>
      <c r="BQ38" s="57"/>
      <c r="BR38" s="57">
        <f>BR21/267.2</f>
        <v>0.22043413173652696</v>
      </c>
      <c r="BS38" s="57">
        <f>BS21/285.4</f>
        <v>0.21723896285914507</v>
      </c>
      <c r="BT38" s="57"/>
      <c r="BU38" s="57">
        <f>BU21/136.1</f>
        <v>0.1462160176340926</v>
      </c>
      <c r="BV38" s="57">
        <f>BV21/123.8</f>
        <v>0.2197092084006462</v>
      </c>
      <c r="BW38" s="57"/>
      <c r="BX38" s="57">
        <f>BX21/171.2</f>
        <v>0.19158878504672897</v>
      </c>
      <c r="BY38" s="57">
        <f>BY21/166.9</f>
        <v>0.16357100059916116</v>
      </c>
      <c r="BZ38" s="57"/>
      <c r="CA38" s="57">
        <f>CA21/278.9</f>
        <v>0.21979204015776266</v>
      </c>
      <c r="CB38" s="57">
        <f>CB21/304.3</f>
        <v>0.2211633256654617</v>
      </c>
      <c r="CC38" s="57"/>
      <c r="CD38" s="57">
        <f>CD21/162.8</f>
        <v>0.22911547911547908</v>
      </c>
      <c r="CE38" s="57">
        <f>CE21/160.2</f>
        <v>0.1679151061173533</v>
      </c>
      <c r="CF38" s="57"/>
      <c r="CG38" s="57">
        <f>CG21/165.6</f>
        <v>0.19746376811594205</v>
      </c>
      <c r="CH38" s="57">
        <f>CH21/160.7</f>
        <v>0.17361543248288738</v>
      </c>
      <c r="CI38" s="57"/>
      <c r="CJ38" s="57">
        <f>CJ21/335.4</f>
        <v>0.18217054263565893</v>
      </c>
      <c r="CK38" s="57">
        <f>CK21/443</f>
        <v>0.19255079006772008</v>
      </c>
      <c r="CL38" s="57"/>
      <c r="CM38" s="57">
        <f>CM21/285.4</f>
        <v>0.21163279607568328</v>
      </c>
      <c r="CN38" s="57">
        <f>CN21/318.5</f>
        <v>0.20219780219780223</v>
      </c>
      <c r="CO38" s="57"/>
      <c r="CP38" s="57">
        <f>CP21/290.9</f>
        <v>0.023719491234101067</v>
      </c>
      <c r="CQ38" s="57">
        <f>CQ21/255.2</f>
        <v>0.030564263322884012</v>
      </c>
      <c r="CR38" s="57"/>
      <c r="CS38" s="57">
        <f>CS21/374</f>
        <v>0.034224598930481284</v>
      </c>
      <c r="CT38" s="57">
        <f>CT21/334.7</f>
        <v>0.03495667762175082</v>
      </c>
      <c r="CU38" s="13"/>
    </row>
    <row r="39" spans="1:99" ht="15.75">
      <c r="A39" s="142"/>
      <c r="B39" s="14" t="s">
        <v>192</v>
      </c>
      <c r="C39" s="7" t="s">
        <v>193</v>
      </c>
      <c r="D39" s="9"/>
      <c r="E39" s="9"/>
      <c r="F39" s="9"/>
      <c r="G39" s="57">
        <f aca="true" t="shared" si="27" ref="G39:N39">G22/37</f>
        <v>0</v>
      </c>
      <c r="H39" s="57">
        <f t="shared" si="27"/>
        <v>0</v>
      </c>
      <c r="I39" s="57"/>
      <c r="J39" s="57">
        <f>J22/74</f>
        <v>31.054054054054053</v>
      </c>
      <c r="K39" s="57">
        <f>K22/73</f>
        <v>35.917808219178085</v>
      </c>
      <c r="L39" s="57"/>
      <c r="M39" s="57">
        <f t="shared" si="27"/>
        <v>0</v>
      </c>
      <c r="N39" s="57">
        <f t="shared" si="27"/>
        <v>0</v>
      </c>
      <c r="O39" s="57"/>
      <c r="P39" s="57">
        <f>P22/37</f>
        <v>0</v>
      </c>
      <c r="Q39" s="57">
        <f>Q22/33</f>
        <v>0</v>
      </c>
      <c r="R39" s="57"/>
      <c r="S39" s="57">
        <f>S22/30</f>
        <v>2.1</v>
      </c>
      <c r="T39" s="57">
        <f>T22/31</f>
        <v>2.032258064516129</v>
      </c>
      <c r="U39" s="57"/>
      <c r="V39" s="57">
        <f>V22/30</f>
        <v>2.9066666666666667</v>
      </c>
      <c r="W39" s="57">
        <f>W22/28.4</f>
        <v>3.1619718309859155</v>
      </c>
      <c r="X39" s="57"/>
      <c r="Y39" s="57">
        <f>Y22/635.3</f>
        <v>0.6107350857862428</v>
      </c>
      <c r="Z39" s="57">
        <f>Z22/634.5</f>
        <v>0.6966115051221434</v>
      </c>
      <c r="AA39" s="57"/>
      <c r="AB39" s="57">
        <f>AB22/91.7</f>
        <v>34.80916030534351</v>
      </c>
      <c r="AC39" s="57">
        <f>AC22/92.8</f>
        <v>61.99353448275862</v>
      </c>
      <c r="AD39" s="57"/>
      <c r="AE39" s="57">
        <f>AE22/587.8</f>
        <v>4.5610751956447775</v>
      </c>
      <c r="AF39" s="57">
        <f>AF22/589.7</f>
        <v>5.321349838901136</v>
      </c>
      <c r="AG39" s="57"/>
      <c r="AH39" s="57">
        <f>AH22/627</f>
        <v>3.0047846889952154</v>
      </c>
      <c r="AI39" s="57">
        <f>AI22/641</f>
        <v>3.012480499219969</v>
      </c>
      <c r="AJ39" s="57"/>
      <c r="AK39" s="57">
        <f>AK22/98</f>
        <v>0</v>
      </c>
      <c r="AL39" s="57">
        <f>AL22/94</f>
        <v>0</v>
      </c>
      <c r="AM39" s="57"/>
      <c r="AN39" s="57">
        <f>AN22/961.4</f>
        <v>3.0153942167672145</v>
      </c>
      <c r="AO39" s="57">
        <f>AO22/963.2</f>
        <v>3.029485049833887</v>
      </c>
      <c r="AP39" s="57"/>
      <c r="AQ39" s="57">
        <f t="shared" si="25"/>
        <v>3.6363636363636367</v>
      </c>
      <c r="AR39" s="57">
        <f t="shared" si="25"/>
        <v>6.136363636363637</v>
      </c>
      <c r="AS39" s="57"/>
      <c r="AT39" s="57">
        <f>AT22/755.2</f>
        <v>11.881620762711863</v>
      </c>
      <c r="AU39" s="57">
        <f>AU22/825.3</f>
        <v>11.092935902096208</v>
      </c>
      <c r="AV39" s="57"/>
      <c r="AW39" s="57">
        <f>AW22/485</f>
        <v>0.24329896907216494</v>
      </c>
      <c r="AX39" s="57">
        <f>AX22/481</f>
        <v>0.38461538461538464</v>
      </c>
      <c r="AY39" s="57"/>
      <c r="AZ39" s="57">
        <f>AZ22/1597.5</f>
        <v>0.15336463223787167</v>
      </c>
      <c r="BA39" s="57">
        <f>BA22/1632.7</f>
        <v>0.16904513995222636</v>
      </c>
      <c r="BB39" s="57"/>
      <c r="BC39" s="57">
        <f>BC22/167.8</f>
        <v>14.433849821215732</v>
      </c>
      <c r="BD39" s="57">
        <f>BD22/170.4</f>
        <v>15.516431924882628</v>
      </c>
      <c r="BE39" s="57"/>
      <c r="BF39" s="57">
        <f>BF22/111</f>
        <v>7.7657657657657655</v>
      </c>
      <c r="BG39" s="57">
        <f>BG22/110</f>
        <v>7.463636363636364</v>
      </c>
      <c r="BH39" s="57"/>
      <c r="BI39" s="57">
        <f>BI22/86.3</f>
        <v>9.559675550405561</v>
      </c>
      <c r="BJ39" s="57">
        <f>BJ22/93.3</f>
        <v>7.251875669882101</v>
      </c>
      <c r="BK39" s="57"/>
      <c r="BL39" s="57">
        <f>BL22/232.2</f>
        <v>6.1326442721791565</v>
      </c>
      <c r="BM39" s="57">
        <f>BM22/228</f>
        <v>8.092105263157896</v>
      </c>
      <c r="BN39" s="57"/>
      <c r="BO39" s="57">
        <f>BO22/164.8</f>
        <v>18.5376213592233</v>
      </c>
      <c r="BP39" s="57">
        <f>BP22/164.5</f>
        <v>14.19452887537994</v>
      </c>
      <c r="BQ39" s="57"/>
      <c r="BR39" s="57">
        <f>BR22/267.2</f>
        <v>10.505239520958085</v>
      </c>
      <c r="BS39" s="57">
        <f>BS22/285.4</f>
        <v>8.33917309039944</v>
      </c>
      <c r="BT39" s="57"/>
      <c r="BU39" s="57">
        <f>BU22/136.1</f>
        <v>12.755326965466569</v>
      </c>
      <c r="BV39" s="57">
        <f>BV22/123.8</f>
        <v>13.7156704361874</v>
      </c>
      <c r="BW39" s="57"/>
      <c r="BX39" s="57">
        <f>BX22/171.2</f>
        <v>8.440420560747665</v>
      </c>
      <c r="BY39" s="57">
        <f>BY22/166.9</f>
        <v>7.68124625524266</v>
      </c>
      <c r="BZ39" s="57"/>
      <c r="CA39" s="57">
        <f>CA22/278.9</f>
        <v>18.7378988884905</v>
      </c>
      <c r="CB39" s="57">
        <f>CB22/304.3</f>
        <v>12.717712783437397</v>
      </c>
      <c r="CC39" s="57"/>
      <c r="CD39" s="57">
        <f>CD22/162.8</f>
        <v>8.66093366093366</v>
      </c>
      <c r="CE39" s="57">
        <f>CE22/160.2</f>
        <v>9.719101123595506</v>
      </c>
      <c r="CF39" s="57"/>
      <c r="CG39" s="57">
        <f>CG22/165.6</f>
        <v>6.334541062801932</v>
      </c>
      <c r="CH39" s="57">
        <f>CH22/160.7</f>
        <v>7.467330429371501</v>
      </c>
      <c r="CI39" s="57"/>
      <c r="CJ39" s="57">
        <f>CJ22/335.4</f>
        <v>13.43768634466309</v>
      </c>
      <c r="CK39" s="57">
        <f>CK22/443</f>
        <v>12.153498871331829</v>
      </c>
      <c r="CL39" s="57"/>
      <c r="CM39" s="57">
        <f>CM22/285.4</f>
        <v>15.81990189208129</v>
      </c>
      <c r="CN39" s="57">
        <f>CN22/318.5</f>
        <v>15.321821036106751</v>
      </c>
      <c r="CO39" s="57"/>
      <c r="CP39" s="57">
        <f>CP22/290.9</f>
        <v>0.3300103128222757</v>
      </c>
      <c r="CQ39" s="57">
        <f>CQ22/255.2</f>
        <v>0.384012539184953</v>
      </c>
      <c r="CR39" s="57"/>
      <c r="CS39" s="57">
        <f>CS22/374</f>
        <v>0.10427807486631016</v>
      </c>
      <c r="CT39" s="57">
        <f>CT22/334.7</f>
        <v>0.06573050492978787</v>
      </c>
      <c r="CU39" s="13"/>
    </row>
    <row r="40" spans="1:99" ht="47.25">
      <c r="A40" s="142" t="s">
        <v>160</v>
      </c>
      <c r="B40" s="9" t="s">
        <v>200</v>
      </c>
      <c r="C40" s="74" t="s">
        <v>201</v>
      </c>
      <c r="D40" s="9"/>
      <c r="E40" s="9"/>
      <c r="F40" s="9"/>
      <c r="G40" s="55"/>
      <c r="H40" s="55"/>
      <c r="I40" s="55"/>
      <c r="J40" s="55"/>
      <c r="K40" s="55"/>
      <c r="L40" s="55"/>
      <c r="M40" s="55"/>
      <c r="N40" s="55"/>
      <c r="O40" s="55"/>
      <c r="P40" s="32"/>
      <c r="Q40" s="32"/>
      <c r="R40" s="32"/>
      <c r="S40" s="32"/>
      <c r="T40" s="32"/>
      <c r="U40" s="32"/>
      <c r="V40" s="32"/>
      <c r="W40" s="32"/>
      <c r="X40" s="32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32"/>
      <c r="AU40" s="32"/>
      <c r="AV40" s="32"/>
      <c r="AW40" s="32"/>
      <c r="AX40" s="32"/>
      <c r="AY40" s="32"/>
      <c r="AZ40" s="32"/>
      <c r="BA40" s="32"/>
      <c r="BB40" s="32"/>
      <c r="BC40" s="71"/>
      <c r="BD40" s="71"/>
      <c r="BE40" s="71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13"/>
    </row>
    <row r="41" spans="1:99" ht="31.5">
      <c r="A41" s="142"/>
      <c r="B41" s="14" t="s">
        <v>202</v>
      </c>
      <c r="C41" s="74"/>
      <c r="D41" s="9"/>
      <c r="E41" s="9"/>
      <c r="F41" s="9"/>
      <c r="G41" s="63" t="s">
        <v>271</v>
      </c>
      <c r="H41" s="63" t="s">
        <v>271</v>
      </c>
      <c r="I41" s="63">
        <v>3</v>
      </c>
      <c r="J41" s="63" t="s">
        <v>271</v>
      </c>
      <c r="K41" s="63" t="s">
        <v>271</v>
      </c>
      <c r="L41" s="63">
        <v>3</v>
      </c>
      <c r="M41" s="63" t="s">
        <v>271</v>
      </c>
      <c r="N41" s="63" t="s">
        <v>271</v>
      </c>
      <c r="O41" s="63">
        <v>3</v>
      </c>
      <c r="P41" s="63"/>
      <c r="Q41" s="63"/>
      <c r="R41" s="63"/>
      <c r="S41" s="63" t="s">
        <v>271</v>
      </c>
      <c r="T41" s="63" t="s">
        <v>271</v>
      </c>
      <c r="U41" s="63">
        <v>3</v>
      </c>
      <c r="V41" s="63" t="s">
        <v>271</v>
      </c>
      <c r="W41" s="63" t="s">
        <v>276</v>
      </c>
      <c r="X41" s="63"/>
      <c r="Y41" s="63" t="s">
        <v>271</v>
      </c>
      <c r="Z41" s="63" t="s">
        <v>271</v>
      </c>
      <c r="AA41" s="63">
        <v>3</v>
      </c>
      <c r="AB41" s="63"/>
      <c r="AC41" s="63"/>
      <c r="AD41" s="63"/>
      <c r="AE41" s="63" t="s">
        <v>270</v>
      </c>
      <c r="AF41" s="63" t="s">
        <v>271</v>
      </c>
      <c r="AG41" s="63">
        <v>3</v>
      </c>
      <c r="AH41" s="63" t="s">
        <v>270</v>
      </c>
      <c r="AI41" s="63" t="s">
        <v>271</v>
      </c>
      <c r="AJ41" s="63">
        <v>3</v>
      </c>
      <c r="AK41" s="63"/>
      <c r="AL41" s="63"/>
      <c r="AM41" s="63"/>
      <c r="AN41" s="63" t="s">
        <v>270</v>
      </c>
      <c r="AO41" s="63" t="s">
        <v>271</v>
      </c>
      <c r="AP41" s="63">
        <v>3</v>
      </c>
      <c r="AQ41" s="63" t="s">
        <v>271</v>
      </c>
      <c r="AR41" s="63" t="s">
        <v>271</v>
      </c>
      <c r="AS41" s="63">
        <v>3</v>
      </c>
      <c r="AT41" s="63" t="s">
        <v>271</v>
      </c>
      <c r="AU41" s="63" t="s">
        <v>271</v>
      </c>
      <c r="AV41" s="63">
        <v>3</v>
      </c>
      <c r="AW41" s="63" t="s">
        <v>271</v>
      </c>
      <c r="AX41" s="63" t="s">
        <v>271</v>
      </c>
      <c r="AY41" s="63">
        <v>3</v>
      </c>
      <c r="AZ41" s="63" t="s">
        <v>271</v>
      </c>
      <c r="BA41" s="63" t="s">
        <v>271</v>
      </c>
      <c r="BB41" s="63">
        <v>3</v>
      </c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32"/>
      <c r="CQ41" s="32"/>
      <c r="CR41" s="32"/>
      <c r="CS41" s="32"/>
      <c r="CT41" s="32"/>
      <c r="CU41" s="13"/>
    </row>
    <row r="42" spans="1:99" ht="47.25">
      <c r="A42" s="142"/>
      <c r="B42" s="14" t="s">
        <v>203</v>
      </c>
      <c r="C42" s="74"/>
      <c r="D42" s="9"/>
      <c r="E42" s="9"/>
      <c r="F42" s="9"/>
      <c r="G42" s="63" t="s">
        <v>271</v>
      </c>
      <c r="H42" s="63" t="s">
        <v>271</v>
      </c>
      <c r="I42" s="63">
        <v>3</v>
      </c>
      <c r="J42" s="63" t="s">
        <v>271</v>
      </c>
      <c r="K42" s="63" t="s">
        <v>271</v>
      </c>
      <c r="L42" s="63">
        <v>3</v>
      </c>
      <c r="M42" s="63" t="s">
        <v>271</v>
      </c>
      <c r="N42" s="63" t="s">
        <v>271</v>
      </c>
      <c r="O42" s="63">
        <v>3</v>
      </c>
      <c r="P42" s="63"/>
      <c r="Q42" s="63"/>
      <c r="R42" s="63"/>
      <c r="S42" s="63" t="s">
        <v>271</v>
      </c>
      <c r="T42" s="63" t="s">
        <v>271</v>
      </c>
      <c r="U42" s="63">
        <v>3</v>
      </c>
      <c r="V42" s="63" t="s">
        <v>271</v>
      </c>
      <c r="W42" s="63" t="s">
        <v>271</v>
      </c>
      <c r="X42" s="63">
        <v>3</v>
      </c>
      <c r="Y42" s="63" t="s">
        <v>271</v>
      </c>
      <c r="Z42" s="63" t="s">
        <v>271</v>
      </c>
      <c r="AA42" s="63">
        <v>3</v>
      </c>
      <c r="AB42" s="63"/>
      <c r="AC42" s="63"/>
      <c r="AD42" s="63"/>
      <c r="AE42" s="63" t="s">
        <v>271</v>
      </c>
      <c r="AF42" s="63" t="s">
        <v>271</v>
      </c>
      <c r="AG42" s="63">
        <v>3</v>
      </c>
      <c r="AH42" s="63" t="s">
        <v>271</v>
      </c>
      <c r="AI42" s="63" t="s">
        <v>271</v>
      </c>
      <c r="AJ42" s="63">
        <v>3</v>
      </c>
      <c r="AK42" s="63"/>
      <c r="AL42" s="63"/>
      <c r="AM42" s="63"/>
      <c r="AN42" s="63" t="s">
        <v>271</v>
      </c>
      <c r="AO42" s="63" t="s">
        <v>271</v>
      </c>
      <c r="AP42" s="63">
        <v>3</v>
      </c>
      <c r="AQ42" s="63" t="s">
        <v>271</v>
      </c>
      <c r="AR42" s="63" t="s">
        <v>271</v>
      </c>
      <c r="AS42" s="63">
        <v>3</v>
      </c>
      <c r="AT42" s="63" t="s">
        <v>271</v>
      </c>
      <c r="AU42" s="63" t="s">
        <v>271</v>
      </c>
      <c r="AV42" s="63">
        <v>3</v>
      </c>
      <c r="AW42" s="63" t="s">
        <v>271</v>
      </c>
      <c r="AX42" s="63" t="s">
        <v>271</v>
      </c>
      <c r="AY42" s="63">
        <v>3</v>
      </c>
      <c r="AZ42" s="63" t="s">
        <v>271</v>
      </c>
      <c r="BA42" s="63" t="s">
        <v>271</v>
      </c>
      <c r="BB42" s="63">
        <v>3</v>
      </c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32"/>
      <c r="CQ42" s="32"/>
      <c r="CR42" s="32"/>
      <c r="CS42" s="32"/>
      <c r="CT42" s="32"/>
      <c r="CU42" s="13"/>
    </row>
    <row r="43" spans="1:99" ht="31.5">
      <c r="A43" s="142"/>
      <c r="B43" s="14" t="s">
        <v>268</v>
      </c>
      <c r="C43" s="74"/>
      <c r="D43" s="9"/>
      <c r="E43" s="9"/>
      <c r="F43" s="9"/>
      <c r="G43" s="63" t="s">
        <v>271</v>
      </c>
      <c r="H43" s="63" t="s">
        <v>271</v>
      </c>
      <c r="I43" s="63">
        <v>3</v>
      </c>
      <c r="J43" s="63" t="s">
        <v>271</v>
      </c>
      <c r="K43" s="63" t="s">
        <v>271</v>
      </c>
      <c r="L43" s="63">
        <v>3</v>
      </c>
      <c r="M43" s="63" t="s">
        <v>271</v>
      </c>
      <c r="N43" s="63" t="s">
        <v>271</v>
      </c>
      <c r="O43" s="63">
        <v>3</v>
      </c>
      <c r="P43" s="63"/>
      <c r="Q43" s="63"/>
      <c r="R43" s="63"/>
      <c r="S43" s="63" t="s">
        <v>271</v>
      </c>
      <c r="T43" s="63" t="s">
        <v>271</v>
      </c>
      <c r="U43" s="63">
        <v>3</v>
      </c>
      <c r="V43" s="63" t="s">
        <v>276</v>
      </c>
      <c r="W43" s="63" t="s">
        <v>271</v>
      </c>
      <c r="X43" s="63">
        <v>3</v>
      </c>
      <c r="Y43" s="63" t="s">
        <v>271</v>
      </c>
      <c r="Z43" s="63" t="s">
        <v>271</v>
      </c>
      <c r="AA43" s="63">
        <v>3</v>
      </c>
      <c r="AB43" s="63"/>
      <c r="AC43" s="63"/>
      <c r="AD43" s="63"/>
      <c r="AE43" s="63" t="s">
        <v>271</v>
      </c>
      <c r="AF43" s="63" t="s">
        <v>271</v>
      </c>
      <c r="AG43" s="63">
        <v>3</v>
      </c>
      <c r="AH43" s="63" t="s">
        <v>271</v>
      </c>
      <c r="AI43" s="63" t="s">
        <v>271</v>
      </c>
      <c r="AJ43" s="63">
        <v>3</v>
      </c>
      <c r="AK43" s="63"/>
      <c r="AL43" s="63"/>
      <c r="AM43" s="63"/>
      <c r="AN43" s="63" t="s">
        <v>271</v>
      </c>
      <c r="AO43" s="63" t="s">
        <v>271</v>
      </c>
      <c r="AP43" s="63">
        <v>3</v>
      </c>
      <c r="AQ43" s="63" t="s">
        <v>271</v>
      </c>
      <c r="AR43" s="63" t="s">
        <v>271</v>
      </c>
      <c r="AS43" s="63">
        <v>3</v>
      </c>
      <c r="AT43" s="63" t="s">
        <v>271</v>
      </c>
      <c r="AU43" s="63" t="s">
        <v>271</v>
      </c>
      <c r="AV43" s="63">
        <v>3</v>
      </c>
      <c r="AW43" s="63" t="s">
        <v>271</v>
      </c>
      <c r="AX43" s="63" t="s">
        <v>271</v>
      </c>
      <c r="AY43" s="63">
        <v>3</v>
      </c>
      <c r="AZ43" s="63" t="s">
        <v>271</v>
      </c>
      <c r="BA43" s="63" t="s">
        <v>271</v>
      </c>
      <c r="BB43" s="63">
        <v>3</v>
      </c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32"/>
      <c r="CQ43" s="32"/>
      <c r="CR43" s="32"/>
      <c r="CS43" s="32"/>
      <c r="CT43" s="32"/>
      <c r="CU43" s="13"/>
    </row>
    <row r="44" spans="1:99" ht="20.25" customHeight="1">
      <c r="A44" s="142"/>
      <c r="B44" s="14" t="s">
        <v>230</v>
      </c>
      <c r="C44" s="74"/>
      <c r="D44" s="9"/>
      <c r="E44" s="9"/>
      <c r="F44" s="9"/>
      <c r="G44" s="63" t="s">
        <v>271</v>
      </c>
      <c r="H44" s="63" t="s">
        <v>271</v>
      </c>
      <c r="I44" s="63">
        <v>3</v>
      </c>
      <c r="J44" s="63" t="s">
        <v>271</v>
      </c>
      <c r="K44" s="63" t="s">
        <v>271</v>
      </c>
      <c r="L44" s="63">
        <v>3</v>
      </c>
      <c r="M44" s="63" t="s">
        <v>271</v>
      </c>
      <c r="N44" s="63" t="s">
        <v>271</v>
      </c>
      <c r="O44" s="63">
        <v>3</v>
      </c>
      <c r="P44" s="63"/>
      <c r="Q44" s="63"/>
      <c r="R44" s="63"/>
      <c r="S44" s="63" t="s">
        <v>271</v>
      </c>
      <c r="T44" s="63" t="s">
        <v>271</v>
      </c>
      <c r="U44" s="63">
        <v>3</v>
      </c>
      <c r="V44" s="63" t="s">
        <v>271</v>
      </c>
      <c r="W44" s="63" t="s">
        <v>271</v>
      </c>
      <c r="X44" s="63">
        <v>3</v>
      </c>
      <c r="Y44" s="63" t="s">
        <v>271</v>
      </c>
      <c r="Z44" s="63" t="s">
        <v>271</v>
      </c>
      <c r="AA44" s="63">
        <v>3</v>
      </c>
      <c r="AB44" s="63"/>
      <c r="AC44" s="63"/>
      <c r="AD44" s="63"/>
      <c r="AE44" s="63" t="s">
        <v>271</v>
      </c>
      <c r="AF44" s="63" t="s">
        <v>271</v>
      </c>
      <c r="AG44" s="63">
        <v>3</v>
      </c>
      <c r="AH44" s="63" t="s">
        <v>271</v>
      </c>
      <c r="AI44" s="63" t="s">
        <v>271</v>
      </c>
      <c r="AJ44" s="63">
        <v>3</v>
      </c>
      <c r="AK44" s="63"/>
      <c r="AL44" s="63"/>
      <c r="AM44" s="63"/>
      <c r="AN44" s="63" t="s">
        <v>271</v>
      </c>
      <c r="AO44" s="63" t="s">
        <v>271</v>
      </c>
      <c r="AP44" s="63">
        <v>3</v>
      </c>
      <c r="AQ44" s="63" t="s">
        <v>271</v>
      </c>
      <c r="AR44" s="63" t="s">
        <v>271</v>
      </c>
      <c r="AS44" s="63">
        <v>3</v>
      </c>
      <c r="AT44" s="63" t="s">
        <v>271</v>
      </c>
      <c r="AU44" s="63" t="s">
        <v>271</v>
      </c>
      <c r="AV44" s="63">
        <v>3</v>
      </c>
      <c r="AW44" s="63" t="s">
        <v>271</v>
      </c>
      <c r="AX44" s="63" t="s">
        <v>271</v>
      </c>
      <c r="AY44" s="63">
        <v>3</v>
      </c>
      <c r="AZ44" s="63" t="s">
        <v>271</v>
      </c>
      <c r="BA44" s="63" t="s">
        <v>271</v>
      </c>
      <c r="BB44" s="63">
        <v>3</v>
      </c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32"/>
      <c r="CQ44" s="32"/>
      <c r="CR44" s="32"/>
      <c r="CS44" s="32"/>
      <c r="CT44" s="32"/>
      <c r="CU44" s="13"/>
    </row>
    <row r="45" spans="1:99" ht="157.5">
      <c r="A45" s="142" t="s">
        <v>162</v>
      </c>
      <c r="B45" s="20" t="s">
        <v>204</v>
      </c>
      <c r="C45" s="74" t="s">
        <v>17</v>
      </c>
      <c r="D45" s="78"/>
      <c r="E45" s="78"/>
      <c r="F45" s="78"/>
      <c r="G45" s="55"/>
      <c r="H45" s="55"/>
      <c r="I45" s="55"/>
      <c r="J45" s="55"/>
      <c r="K45" s="55"/>
      <c r="L45" s="55"/>
      <c r="M45" s="55"/>
      <c r="N45" s="55"/>
      <c r="O45" s="55"/>
      <c r="P45" s="32"/>
      <c r="Q45" s="32"/>
      <c r="R45" s="32"/>
      <c r="S45" s="32"/>
      <c r="T45" s="32"/>
      <c r="U45" s="32"/>
      <c r="V45" s="32"/>
      <c r="W45" s="32"/>
      <c r="X45" s="32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32"/>
      <c r="AU45" s="32"/>
      <c r="AV45" s="32"/>
      <c r="AW45" s="32"/>
      <c r="AX45" s="32"/>
      <c r="AY45" s="32"/>
      <c r="AZ45" s="32"/>
      <c r="BA45" s="32"/>
      <c r="BB45" s="32"/>
      <c r="BC45" s="71"/>
      <c r="BD45" s="71"/>
      <c r="BE45" s="71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13"/>
    </row>
    <row r="46" spans="1:99" ht="15.75">
      <c r="A46" s="142"/>
      <c r="B46" s="20" t="s">
        <v>205</v>
      </c>
      <c r="C46" s="74"/>
      <c r="D46" s="78"/>
      <c r="E46" s="78"/>
      <c r="F46" s="78"/>
      <c r="G46" s="37">
        <f>G48/G47*100</f>
        <v>0</v>
      </c>
      <c r="H46" s="37">
        <f>H48/H47*100</f>
        <v>0</v>
      </c>
      <c r="I46" s="37"/>
      <c r="J46" s="37">
        <f>J48/J47*100</f>
        <v>34.497657164453486</v>
      </c>
      <c r="K46" s="37">
        <f>K48/K47*100</f>
        <v>63.25108608103671</v>
      </c>
      <c r="L46" s="37">
        <v>-1</v>
      </c>
      <c r="M46" s="37">
        <f aca="true" t="shared" si="28" ref="M46:BG46">M48/M47*100</f>
        <v>0</v>
      </c>
      <c r="N46" s="37">
        <f t="shared" si="28"/>
        <v>0</v>
      </c>
      <c r="O46" s="37">
        <v>-1</v>
      </c>
      <c r="P46" s="37" t="e">
        <f t="shared" si="28"/>
        <v>#DIV/0!</v>
      </c>
      <c r="Q46" s="37" t="e">
        <f t="shared" si="28"/>
        <v>#DIV/0!</v>
      </c>
      <c r="R46" s="37"/>
      <c r="S46" s="37">
        <f t="shared" si="28"/>
        <v>0</v>
      </c>
      <c r="T46" s="37">
        <f t="shared" si="28"/>
        <v>0</v>
      </c>
      <c r="U46" s="37">
        <v>-1</v>
      </c>
      <c r="V46" s="37">
        <f t="shared" si="28"/>
        <v>0</v>
      </c>
      <c r="W46" s="37">
        <f t="shared" si="28"/>
        <v>0</v>
      </c>
      <c r="X46" s="37">
        <v>-1</v>
      </c>
      <c r="Y46" s="37">
        <f t="shared" si="28"/>
        <v>88.19203602491238</v>
      </c>
      <c r="Z46" s="37">
        <f t="shared" si="28"/>
        <v>34.377271625878365</v>
      </c>
      <c r="AA46" s="37">
        <v>-1</v>
      </c>
      <c r="AB46" s="37">
        <f t="shared" si="28"/>
        <v>19.962434432049843</v>
      </c>
      <c r="AC46" s="37">
        <f t="shared" si="28"/>
        <v>28.465613022694974</v>
      </c>
      <c r="AD46" s="37">
        <v>-1</v>
      </c>
      <c r="AE46" s="37">
        <f t="shared" si="28"/>
        <v>39.21230362648656</v>
      </c>
      <c r="AF46" s="37">
        <f t="shared" si="28"/>
        <v>46.75003929140753</v>
      </c>
      <c r="AG46" s="37">
        <v>-1</v>
      </c>
      <c r="AH46" s="37">
        <f t="shared" si="28"/>
        <v>9.60581082183955</v>
      </c>
      <c r="AI46" s="37">
        <f t="shared" si="28"/>
        <v>22.235446022567785</v>
      </c>
      <c r="AJ46" s="37">
        <v>-1</v>
      </c>
      <c r="AK46" s="37" t="e">
        <f t="shared" si="28"/>
        <v>#DIV/0!</v>
      </c>
      <c r="AL46" s="37" t="e">
        <f t="shared" si="28"/>
        <v>#DIV/0!</v>
      </c>
      <c r="AM46" s="37"/>
      <c r="AN46" s="37">
        <f t="shared" si="28"/>
        <v>30.750380819921848</v>
      </c>
      <c r="AO46" s="37">
        <f t="shared" si="28"/>
        <v>47.24365896699766</v>
      </c>
      <c r="AP46" s="37">
        <v>-1</v>
      </c>
      <c r="AQ46" s="37" t="e">
        <f t="shared" si="28"/>
        <v>#DIV/0!</v>
      </c>
      <c r="AR46" s="37" t="e">
        <f t="shared" si="28"/>
        <v>#DIV/0!</v>
      </c>
      <c r="AS46" s="37">
        <v>-1</v>
      </c>
      <c r="AT46" s="37">
        <f t="shared" si="28"/>
        <v>100</v>
      </c>
      <c r="AU46" s="37">
        <f t="shared" si="28"/>
        <v>100</v>
      </c>
      <c r="AV46" s="37">
        <v>3</v>
      </c>
      <c r="AW46" s="37">
        <f t="shared" si="28"/>
        <v>0</v>
      </c>
      <c r="AX46" s="37">
        <f t="shared" si="28"/>
        <v>0</v>
      </c>
      <c r="AY46" s="37">
        <v>-1</v>
      </c>
      <c r="AZ46" s="37">
        <f t="shared" si="28"/>
        <v>0</v>
      </c>
      <c r="BA46" s="37">
        <f t="shared" si="28"/>
        <v>0</v>
      </c>
      <c r="BB46" s="37">
        <v>-1</v>
      </c>
      <c r="BC46" s="37">
        <f t="shared" si="28"/>
        <v>0</v>
      </c>
      <c r="BD46" s="37">
        <f t="shared" si="28"/>
        <v>44.84172303727781</v>
      </c>
      <c r="BE46" s="37">
        <v>-1</v>
      </c>
      <c r="BF46" s="37">
        <f t="shared" si="28"/>
        <v>0</v>
      </c>
      <c r="BG46" s="37">
        <f t="shared" si="28"/>
        <v>29.36009505219384</v>
      </c>
      <c r="BH46" s="37">
        <v>-1</v>
      </c>
      <c r="BI46" s="37">
        <f aca="true" t="shared" si="29" ref="BI46:BV46">BI48/BI47*100</f>
        <v>0</v>
      </c>
      <c r="BJ46" s="37">
        <f t="shared" si="29"/>
        <v>0</v>
      </c>
      <c r="BK46" s="37">
        <v>-1</v>
      </c>
      <c r="BL46" s="37">
        <f t="shared" si="29"/>
        <v>39.15995338703957</v>
      </c>
      <c r="BM46" s="37">
        <f t="shared" si="29"/>
        <v>51.254175332451</v>
      </c>
      <c r="BN46" s="37">
        <v>-1</v>
      </c>
      <c r="BO46" s="37">
        <f t="shared" si="29"/>
        <v>16.87682464749363</v>
      </c>
      <c r="BP46" s="37">
        <f t="shared" si="29"/>
        <v>21.680359525314234</v>
      </c>
      <c r="BQ46" s="37">
        <v>-1</v>
      </c>
      <c r="BR46" s="37">
        <f t="shared" si="29"/>
        <v>28.378197401901705</v>
      </c>
      <c r="BS46" s="37">
        <f t="shared" si="29"/>
        <v>47.96204584301179</v>
      </c>
      <c r="BT46" s="37">
        <v>-1</v>
      </c>
      <c r="BU46" s="37">
        <f t="shared" si="29"/>
        <v>0</v>
      </c>
      <c r="BV46" s="37">
        <f t="shared" si="29"/>
        <v>82.74894256235919</v>
      </c>
      <c r="BW46" s="37">
        <v>-1</v>
      </c>
      <c r="BX46" s="37">
        <f aca="true" t="shared" si="30" ref="BX46:CH46">BX48/BX47*100</f>
        <v>7.424357996440375</v>
      </c>
      <c r="BY46" s="37">
        <f t="shared" si="30"/>
        <v>30.74261992619926</v>
      </c>
      <c r="BZ46" s="37">
        <v>-1</v>
      </c>
      <c r="CA46" s="37">
        <f t="shared" si="30"/>
        <v>29.50522837354579</v>
      </c>
      <c r="CB46" s="37">
        <f t="shared" si="30"/>
        <v>41.36555658010422</v>
      </c>
      <c r="CC46" s="37">
        <v>-1</v>
      </c>
      <c r="CD46" s="37">
        <f t="shared" si="30"/>
        <v>8.176100628930817</v>
      </c>
      <c r="CE46" s="37">
        <f t="shared" si="30"/>
        <v>7.93339435944379</v>
      </c>
      <c r="CF46" s="37">
        <v>-1</v>
      </c>
      <c r="CG46" s="37">
        <f t="shared" si="30"/>
        <v>0</v>
      </c>
      <c r="CH46" s="37">
        <f t="shared" si="30"/>
        <v>10.386013501817551</v>
      </c>
      <c r="CI46" s="37">
        <v>-1</v>
      </c>
      <c r="CJ46" s="37">
        <f aca="true" t="shared" si="31" ref="CJ46:CT46">CJ48/CJ47*100</f>
        <v>56.93863969120192</v>
      </c>
      <c r="CK46" s="37">
        <f t="shared" si="31"/>
        <v>25.638648919209523</v>
      </c>
      <c r="CL46" s="37">
        <v>-1</v>
      </c>
      <c r="CM46" s="37">
        <f t="shared" si="31"/>
        <v>59.81750465549348</v>
      </c>
      <c r="CN46" s="37">
        <f t="shared" si="31"/>
        <v>50.64358910272432</v>
      </c>
      <c r="CO46" s="37">
        <v>-1</v>
      </c>
      <c r="CP46" s="37">
        <f t="shared" si="31"/>
        <v>0</v>
      </c>
      <c r="CQ46" s="37">
        <f t="shared" si="31"/>
        <v>0</v>
      </c>
      <c r="CR46" s="37">
        <v>-1</v>
      </c>
      <c r="CS46" s="37">
        <f t="shared" si="31"/>
        <v>0</v>
      </c>
      <c r="CT46" s="37">
        <f t="shared" si="31"/>
        <v>0</v>
      </c>
      <c r="CU46" s="13">
        <v>-1</v>
      </c>
    </row>
    <row r="47" spans="1:99" ht="31.5">
      <c r="A47" s="142"/>
      <c r="B47" s="9" t="s">
        <v>206</v>
      </c>
      <c r="C47" s="7" t="s">
        <v>4</v>
      </c>
      <c r="D47" s="9"/>
      <c r="E47" s="9"/>
      <c r="F47" s="9"/>
      <c r="G47" s="55">
        <v>190</v>
      </c>
      <c r="H47" s="55">
        <v>324</v>
      </c>
      <c r="I47" s="55"/>
      <c r="J47" s="53">
        <v>109013.2</v>
      </c>
      <c r="K47" s="53">
        <v>133714.7</v>
      </c>
      <c r="L47" s="53"/>
      <c r="M47" s="55">
        <v>241</v>
      </c>
      <c r="N47" s="55">
        <v>724.5</v>
      </c>
      <c r="O47" s="55"/>
      <c r="P47" s="32"/>
      <c r="Q47" s="32"/>
      <c r="R47" s="32"/>
      <c r="S47" s="32">
        <v>2176</v>
      </c>
      <c r="T47" s="32">
        <v>2161</v>
      </c>
      <c r="U47" s="32"/>
      <c r="V47" s="32">
        <v>601.6</v>
      </c>
      <c r="W47" s="32">
        <v>855.6</v>
      </c>
      <c r="X47" s="32"/>
      <c r="Y47" s="63">
        <v>16521.9</v>
      </c>
      <c r="Z47" s="63">
        <v>3301.6</v>
      </c>
      <c r="AA47" s="63"/>
      <c r="AB47" s="63">
        <v>8731.4</v>
      </c>
      <c r="AC47" s="63">
        <v>11610.5</v>
      </c>
      <c r="AD47" s="63"/>
      <c r="AE47" s="63">
        <v>2724.4</v>
      </c>
      <c r="AF47" s="63">
        <v>4453.9</v>
      </c>
      <c r="AG47" s="63"/>
      <c r="AH47" s="63">
        <v>17154.2</v>
      </c>
      <c r="AI47" s="63">
        <v>26719.5</v>
      </c>
      <c r="AJ47" s="63"/>
      <c r="AK47" s="63"/>
      <c r="AL47" s="63"/>
      <c r="AM47" s="63"/>
      <c r="AN47" s="63">
        <v>3019.8</v>
      </c>
      <c r="AO47" s="63">
        <v>3796.7</v>
      </c>
      <c r="AP47" s="63"/>
      <c r="AQ47" s="63"/>
      <c r="AR47" s="63"/>
      <c r="AS47" s="63"/>
      <c r="AT47" s="32">
        <v>978</v>
      </c>
      <c r="AU47" s="32">
        <v>13146</v>
      </c>
      <c r="AV47" s="32"/>
      <c r="AW47" s="32">
        <v>622.9</v>
      </c>
      <c r="AX47" s="32">
        <v>543.2</v>
      </c>
      <c r="AY47" s="32"/>
      <c r="AZ47" s="32">
        <v>9298.2</v>
      </c>
      <c r="BA47" s="32">
        <v>10080.7</v>
      </c>
      <c r="BB47" s="32"/>
      <c r="BC47" s="32">
        <v>1767.2</v>
      </c>
      <c r="BD47" s="32">
        <v>3414.9</v>
      </c>
      <c r="BE47" s="32"/>
      <c r="BF47" s="32">
        <v>1052</v>
      </c>
      <c r="BG47" s="32">
        <v>2356.6</v>
      </c>
      <c r="BH47" s="32"/>
      <c r="BI47" s="32">
        <v>955.6</v>
      </c>
      <c r="BJ47" s="32">
        <v>1484.5</v>
      </c>
      <c r="BK47" s="32"/>
      <c r="BL47" s="32">
        <v>1973.7</v>
      </c>
      <c r="BM47" s="32">
        <v>3173.4</v>
      </c>
      <c r="BN47" s="32"/>
      <c r="BO47" s="32">
        <v>1609.9</v>
      </c>
      <c r="BP47" s="32">
        <v>2848.2</v>
      </c>
      <c r="BQ47" s="32"/>
      <c r="BR47" s="32">
        <v>2240.1</v>
      </c>
      <c r="BS47" s="32">
        <v>4563.4</v>
      </c>
      <c r="BT47" s="32"/>
      <c r="BU47" s="32">
        <v>1705.4</v>
      </c>
      <c r="BV47" s="32">
        <v>20237.6</v>
      </c>
      <c r="BW47" s="32"/>
      <c r="BX47" s="32">
        <v>1573.2</v>
      </c>
      <c r="BY47" s="32">
        <v>2168</v>
      </c>
      <c r="BZ47" s="32"/>
      <c r="CA47" s="32">
        <v>2209.1</v>
      </c>
      <c r="CB47" s="32">
        <v>4663.3</v>
      </c>
      <c r="CC47" s="32"/>
      <c r="CD47" s="32">
        <v>1446.9</v>
      </c>
      <c r="CE47" s="32">
        <v>2294.1</v>
      </c>
      <c r="CF47" s="32"/>
      <c r="CG47" s="32">
        <v>1484.3</v>
      </c>
      <c r="CH47" s="32">
        <v>2310.8</v>
      </c>
      <c r="CI47" s="32"/>
      <c r="CJ47" s="32">
        <v>3756.5</v>
      </c>
      <c r="CK47" s="32">
        <v>5394.2</v>
      </c>
      <c r="CL47" s="32"/>
      <c r="CM47" s="32">
        <v>2685</v>
      </c>
      <c r="CN47" s="32">
        <v>4801.2</v>
      </c>
      <c r="CO47" s="32"/>
      <c r="CP47" s="32">
        <v>150.6</v>
      </c>
      <c r="CQ47" s="32">
        <v>312.4</v>
      </c>
      <c r="CR47" s="32"/>
      <c r="CS47" s="32">
        <v>268.2</v>
      </c>
      <c r="CT47" s="32">
        <v>495</v>
      </c>
      <c r="CU47" s="13"/>
    </row>
    <row r="48" spans="1:99" ht="31.5">
      <c r="A48" s="142"/>
      <c r="B48" s="9" t="s">
        <v>207</v>
      </c>
      <c r="C48" s="7" t="s">
        <v>4</v>
      </c>
      <c r="D48" s="9"/>
      <c r="E48" s="9"/>
      <c r="F48" s="9"/>
      <c r="G48" s="55">
        <v>0</v>
      </c>
      <c r="H48" s="55">
        <v>0</v>
      </c>
      <c r="I48" s="55">
        <v>-1</v>
      </c>
      <c r="J48" s="53">
        <v>37607</v>
      </c>
      <c r="K48" s="53">
        <v>84576</v>
      </c>
      <c r="L48" s="53"/>
      <c r="M48" s="55">
        <v>0</v>
      </c>
      <c r="N48" s="55">
        <v>0</v>
      </c>
      <c r="O48" s="55"/>
      <c r="P48" s="32"/>
      <c r="Q48" s="32"/>
      <c r="R48" s="32"/>
      <c r="S48" s="32">
        <v>0</v>
      </c>
      <c r="T48" s="32">
        <v>0</v>
      </c>
      <c r="U48" s="32"/>
      <c r="V48" s="32">
        <v>0</v>
      </c>
      <c r="W48" s="32">
        <v>0</v>
      </c>
      <c r="X48" s="32"/>
      <c r="Y48" s="63">
        <v>14571</v>
      </c>
      <c r="Z48" s="63">
        <v>1135</v>
      </c>
      <c r="AA48" s="63"/>
      <c r="AB48" s="63">
        <v>1743</v>
      </c>
      <c r="AC48" s="63">
        <v>3305</v>
      </c>
      <c r="AD48" s="63"/>
      <c r="AE48" s="63">
        <v>1068.3</v>
      </c>
      <c r="AF48" s="63">
        <v>2082.2</v>
      </c>
      <c r="AG48" s="63"/>
      <c r="AH48" s="63">
        <v>1647.8</v>
      </c>
      <c r="AI48" s="63">
        <v>5941.2</v>
      </c>
      <c r="AJ48" s="63"/>
      <c r="AK48" s="63"/>
      <c r="AL48" s="63"/>
      <c r="AM48" s="63"/>
      <c r="AN48" s="63">
        <v>928.6</v>
      </c>
      <c r="AO48" s="63">
        <v>1793.7</v>
      </c>
      <c r="AP48" s="63"/>
      <c r="AQ48" s="63">
        <v>0</v>
      </c>
      <c r="AR48" s="63">
        <v>0</v>
      </c>
      <c r="AS48" s="63"/>
      <c r="AT48" s="32">
        <v>978</v>
      </c>
      <c r="AU48" s="32">
        <v>13146</v>
      </c>
      <c r="AV48" s="32"/>
      <c r="AW48" s="32">
        <v>0</v>
      </c>
      <c r="AX48" s="32">
        <v>0</v>
      </c>
      <c r="AY48" s="32"/>
      <c r="AZ48" s="32">
        <v>0</v>
      </c>
      <c r="BA48" s="32">
        <v>0</v>
      </c>
      <c r="BB48" s="32"/>
      <c r="BC48" s="32">
        <v>0</v>
      </c>
      <c r="BD48" s="32">
        <v>1531.3</v>
      </c>
      <c r="BE48" s="32"/>
      <c r="BF48" s="32">
        <v>0</v>
      </c>
      <c r="BG48" s="32">
        <v>691.9</v>
      </c>
      <c r="BH48" s="32"/>
      <c r="BI48" s="32">
        <v>0</v>
      </c>
      <c r="BJ48" s="32">
        <v>0</v>
      </c>
      <c r="BK48" s="32"/>
      <c r="BL48" s="32">
        <v>772.9</v>
      </c>
      <c r="BM48" s="32">
        <v>1626.5</v>
      </c>
      <c r="BN48" s="32"/>
      <c r="BO48" s="32">
        <v>271.7</v>
      </c>
      <c r="BP48" s="32">
        <v>617.5</v>
      </c>
      <c r="BQ48" s="32"/>
      <c r="BR48" s="32">
        <v>635.7</v>
      </c>
      <c r="BS48" s="32">
        <v>2188.7</v>
      </c>
      <c r="BT48" s="32"/>
      <c r="BU48" s="32">
        <v>0</v>
      </c>
      <c r="BV48" s="32">
        <v>16746.4</v>
      </c>
      <c r="BW48" s="32"/>
      <c r="BX48" s="32">
        <v>116.8</v>
      </c>
      <c r="BY48" s="32">
        <v>666.5</v>
      </c>
      <c r="BZ48" s="32"/>
      <c r="CA48" s="32">
        <v>651.8</v>
      </c>
      <c r="CB48" s="32">
        <v>1929</v>
      </c>
      <c r="CC48" s="32"/>
      <c r="CD48" s="32">
        <v>118.3</v>
      </c>
      <c r="CE48" s="32">
        <v>182</v>
      </c>
      <c r="CF48" s="32"/>
      <c r="CG48" s="32">
        <v>0</v>
      </c>
      <c r="CH48" s="32">
        <v>240</v>
      </c>
      <c r="CI48" s="32"/>
      <c r="CJ48" s="32">
        <v>2138.9</v>
      </c>
      <c r="CK48" s="32">
        <v>1383</v>
      </c>
      <c r="CL48" s="32"/>
      <c r="CM48" s="32">
        <v>1606.1</v>
      </c>
      <c r="CN48" s="32">
        <v>2431.5</v>
      </c>
      <c r="CO48" s="32"/>
      <c r="CP48" s="32">
        <v>0</v>
      </c>
      <c r="CQ48" s="32">
        <v>0</v>
      </c>
      <c r="CR48" s="32"/>
      <c r="CS48" s="32">
        <v>0</v>
      </c>
      <c r="CT48" s="32">
        <v>0</v>
      </c>
      <c r="CU48" s="13"/>
    </row>
    <row r="49" spans="1:99" ht="47.25">
      <c r="A49" s="16" t="s">
        <v>164</v>
      </c>
      <c r="B49" s="9" t="s">
        <v>208</v>
      </c>
      <c r="C49" s="7"/>
      <c r="D49" s="9"/>
      <c r="E49" s="9"/>
      <c r="F49" s="9"/>
      <c r="G49" s="55"/>
      <c r="H49" s="55"/>
      <c r="I49" s="55">
        <v>-2</v>
      </c>
      <c r="J49" s="64" t="s">
        <v>270</v>
      </c>
      <c r="K49" s="64" t="s">
        <v>270</v>
      </c>
      <c r="L49" s="64"/>
      <c r="M49" s="65" t="s">
        <v>271</v>
      </c>
      <c r="N49" s="65" t="s">
        <v>271</v>
      </c>
      <c r="O49" s="65"/>
      <c r="P49" s="65"/>
      <c r="Q49" s="65"/>
      <c r="R49" s="65"/>
      <c r="S49" s="64" t="s">
        <v>270</v>
      </c>
      <c r="T49" s="64" t="s">
        <v>270</v>
      </c>
      <c r="U49" s="64"/>
      <c r="V49" s="64" t="s">
        <v>270</v>
      </c>
      <c r="W49" s="64" t="s">
        <v>270</v>
      </c>
      <c r="X49" s="64"/>
      <c r="Y49" s="64" t="s">
        <v>270</v>
      </c>
      <c r="Z49" s="64" t="s">
        <v>270</v>
      </c>
      <c r="AA49" s="64"/>
      <c r="AB49" s="69" t="s">
        <v>270</v>
      </c>
      <c r="AC49" s="69" t="s">
        <v>270</v>
      </c>
      <c r="AD49" s="69"/>
      <c r="AE49" s="69" t="s">
        <v>270</v>
      </c>
      <c r="AF49" s="69" t="s">
        <v>270</v>
      </c>
      <c r="AG49" s="69"/>
      <c r="AH49" s="69" t="s">
        <v>270</v>
      </c>
      <c r="AI49" s="69" t="s">
        <v>271</v>
      </c>
      <c r="AJ49" s="69">
        <v>-2</v>
      </c>
      <c r="AK49" s="63"/>
      <c r="AL49" s="69"/>
      <c r="AM49" s="69"/>
      <c r="AN49" s="69" t="s">
        <v>270</v>
      </c>
      <c r="AO49" s="69" t="s">
        <v>270</v>
      </c>
      <c r="AP49" s="69"/>
      <c r="AQ49" s="69" t="s">
        <v>271</v>
      </c>
      <c r="AR49" s="69" t="s">
        <v>271</v>
      </c>
      <c r="AS49" s="69">
        <v>-2</v>
      </c>
      <c r="AT49" s="69" t="s">
        <v>271</v>
      </c>
      <c r="AU49" s="69" t="s">
        <v>270</v>
      </c>
      <c r="AV49" s="69"/>
      <c r="AW49" s="69" t="s">
        <v>270</v>
      </c>
      <c r="AX49" s="69" t="s">
        <v>270</v>
      </c>
      <c r="AY49" s="69"/>
      <c r="AZ49" s="69" t="s">
        <v>270</v>
      </c>
      <c r="BA49" s="69" t="s">
        <v>270</v>
      </c>
      <c r="BB49" s="69"/>
      <c r="BC49" s="69" t="s">
        <v>270</v>
      </c>
      <c r="BD49" s="69" t="s">
        <v>270</v>
      </c>
      <c r="BE49" s="69"/>
      <c r="BF49" s="69" t="s">
        <v>270</v>
      </c>
      <c r="BG49" s="69" t="s">
        <v>270</v>
      </c>
      <c r="BH49" s="69"/>
      <c r="BI49" s="69" t="s">
        <v>270</v>
      </c>
      <c r="BJ49" s="69" t="s">
        <v>270</v>
      </c>
      <c r="BK49" s="69"/>
      <c r="BL49" s="69" t="s">
        <v>270</v>
      </c>
      <c r="BM49" s="69" t="s">
        <v>270</v>
      </c>
      <c r="BN49" s="69"/>
      <c r="BO49" s="69" t="s">
        <v>270</v>
      </c>
      <c r="BP49" s="69" t="s">
        <v>270</v>
      </c>
      <c r="BQ49" s="69"/>
      <c r="BR49" s="69" t="s">
        <v>270</v>
      </c>
      <c r="BS49" s="69" t="s">
        <v>270</v>
      </c>
      <c r="BT49" s="69"/>
      <c r="BU49" s="69" t="s">
        <v>270</v>
      </c>
      <c r="BV49" s="69" t="s">
        <v>270</v>
      </c>
      <c r="BW49" s="69"/>
      <c r="BX49" s="69" t="s">
        <v>270</v>
      </c>
      <c r="BY49" s="69" t="s">
        <v>270</v>
      </c>
      <c r="BZ49" s="69"/>
      <c r="CA49" s="69" t="s">
        <v>270</v>
      </c>
      <c r="CB49" s="69" t="s">
        <v>270</v>
      </c>
      <c r="CC49" s="69"/>
      <c r="CD49" s="69" t="s">
        <v>270</v>
      </c>
      <c r="CE49" s="69" t="s">
        <v>270</v>
      </c>
      <c r="CF49" s="69"/>
      <c r="CG49" s="69" t="s">
        <v>270</v>
      </c>
      <c r="CH49" s="69" t="s">
        <v>270</v>
      </c>
      <c r="CI49" s="69"/>
      <c r="CJ49" s="69" t="s">
        <v>270</v>
      </c>
      <c r="CK49" s="69" t="s">
        <v>270</v>
      </c>
      <c r="CL49" s="69"/>
      <c r="CM49" s="69" t="s">
        <v>270</v>
      </c>
      <c r="CN49" s="69" t="s">
        <v>270</v>
      </c>
      <c r="CO49" s="69"/>
      <c r="CP49" s="69" t="s">
        <v>270</v>
      </c>
      <c r="CQ49" s="69" t="s">
        <v>270</v>
      </c>
      <c r="CR49" s="69"/>
      <c r="CS49" s="69" t="s">
        <v>270</v>
      </c>
      <c r="CT49" s="69" t="s">
        <v>270</v>
      </c>
      <c r="CU49" s="13"/>
    </row>
    <row r="50" spans="1:99" ht="78.75">
      <c r="A50" s="16" t="s">
        <v>209</v>
      </c>
      <c r="B50" s="9" t="s">
        <v>210</v>
      </c>
      <c r="C50" s="7"/>
      <c r="D50" s="9"/>
      <c r="E50" s="9"/>
      <c r="F50" s="9"/>
      <c r="G50" s="64" t="s">
        <v>270</v>
      </c>
      <c r="H50" s="64" t="s">
        <v>270</v>
      </c>
      <c r="I50" s="64">
        <v>1</v>
      </c>
      <c r="J50" s="64" t="s">
        <v>270</v>
      </c>
      <c r="K50" s="64" t="s">
        <v>270</v>
      </c>
      <c r="L50" s="64">
        <v>1</v>
      </c>
      <c r="M50" s="65" t="s">
        <v>271</v>
      </c>
      <c r="N50" s="65" t="s">
        <v>271</v>
      </c>
      <c r="O50" s="65">
        <v>-1</v>
      </c>
      <c r="P50" s="64"/>
      <c r="Q50" s="64"/>
      <c r="R50" s="64"/>
      <c r="S50" s="64">
        <v>46</v>
      </c>
      <c r="T50" s="64">
        <v>85</v>
      </c>
      <c r="U50" s="64">
        <v>1</v>
      </c>
      <c r="V50" s="64" t="s">
        <v>270</v>
      </c>
      <c r="W50" s="64" t="s">
        <v>270</v>
      </c>
      <c r="X50" s="64">
        <v>1</v>
      </c>
      <c r="Y50" s="64" t="s">
        <v>270</v>
      </c>
      <c r="Z50" s="64" t="s">
        <v>270</v>
      </c>
      <c r="AA50" s="64">
        <v>1</v>
      </c>
      <c r="AB50" s="69" t="s">
        <v>271</v>
      </c>
      <c r="AC50" s="69" t="s">
        <v>271</v>
      </c>
      <c r="AD50" s="69"/>
      <c r="AE50" s="69" t="s">
        <v>270</v>
      </c>
      <c r="AF50" s="69" t="s">
        <v>270</v>
      </c>
      <c r="AG50" s="69">
        <v>1</v>
      </c>
      <c r="AH50" s="69" t="s">
        <v>270</v>
      </c>
      <c r="AI50" s="69" t="s">
        <v>270</v>
      </c>
      <c r="AJ50" s="69">
        <v>1</v>
      </c>
      <c r="AK50" s="63"/>
      <c r="AL50" s="69"/>
      <c r="AM50" s="69"/>
      <c r="AN50" s="69" t="s">
        <v>270</v>
      </c>
      <c r="AO50" s="69" t="s">
        <v>270</v>
      </c>
      <c r="AP50" s="69">
        <v>1</v>
      </c>
      <c r="AQ50" s="69" t="s">
        <v>270</v>
      </c>
      <c r="AR50" s="69" t="s">
        <v>270</v>
      </c>
      <c r="AS50" s="69">
        <v>1</v>
      </c>
      <c r="AT50" s="69" t="s">
        <v>271</v>
      </c>
      <c r="AU50" s="69" t="s">
        <v>271</v>
      </c>
      <c r="AV50" s="69"/>
      <c r="AW50" s="69" t="s">
        <v>270</v>
      </c>
      <c r="AX50" s="69" t="s">
        <v>270</v>
      </c>
      <c r="AY50" s="69">
        <v>1</v>
      </c>
      <c r="AZ50" s="69" t="s">
        <v>271</v>
      </c>
      <c r="BA50" s="69" t="s">
        <v>271</v>
      </c>
      <c r="BB50" s="69"/>
      <c r="BC50" s="69" t="s">
        <v>270</v>
      </c>
      <c r="BD50" s="69" t="s">
        <v>270</v>
      </c>
      <c r="BE50" s="69">
        <v>1</v>
      </c>
      <c r="BF50" s="69" t="s">
        <v>270</v>
      </c>
      <c r="BG50" s="69" t="s">
        <v>270</v>
      </c>
      <c r="BH50" s="69">
        <v>1</v>
      </c>
      <c r="BI50" s="69" t="s">
        <v>270</v>
      </c>
      <c r="BJ50" s="69" t="s">
        <v>270</v>
      </c>
      <c r="BK50" s="69">
        <v>1</v>
      </c>
      <c r="BL50" s="69" t="s">
        <v>270</v>
      </c>
      <c r="BM50" s="69" t="s">
        <v>270</v>
      </c>
      <c r="BN50" s="69">
        <v>1</v>
      </c>
      <c r="BO50" s="69" t="s">
        <v>270</v>
      </c>
      <c r="BP50" s="69" t="s">
        <v>270</v>
      </c>
      <c r="BQ50" s="69">
        <v>1</v>
      </c>
      <c r="BR50" s="69" t="s">
        <v>270</v>
      </c>
      <c r="BS50" s="69" t="s">
        <v>270</v>
      </c>
      <c r="BT50" s="69">
        <v>1</v>
      </c>
      <c r="BU50" s="69" t="s">
        <v>270</v>
      </c>
      <c r="BV50" s="69" t="s">
        <v>270</v>
      </c>
      <c r="BW50" s="69">
        <v>1</v>
      </c>
      <c r="BX50" s="69" t="s">
        <v>270</v>
      </c>
      <c r="BY50" s="69" t="s">
        <v>270</v>
      </c>
      <c r="BZ50" s="69">
        <v>1</v>
      </c>
      <c r="CA50" s="69" t="s">
        <v>270</v>
      </c>
      <c r="CB50" s="69" t="s">
        <v>270</v>
      </c>
      <c r="CC50" s="69">
        <v>1</v>
      </c>
      <c r="CD50" s="69" t="s">
        <v>270</v>
      </c>
      <c r="CE50" s="69" t="s">
        <v>270</v>
      </c>
      <c r="CF50" s="69">
        <v>1</v>
      </c>
      <c r="CG50" s="69" t="s">
        <v>270</v>
      </c>
      <c r="CH50" s="69" t="s">
        <v>270</v>
      </c>
      <c r="CI50" s="69">
        <v>1</v>
      </c>
      <c r="CJ50" s="69" t="s">
        <v>270</v>
      </c>
      <c r="CK50" s="69" t="s">
        <v>270</v>
      </c>
      <c r="CL50" s="69">
        <v>1</v>
      </c>
      <c r="CM50" s="69" t="s">
        <v>270</v>
      </c>
      <c r="CN50" s="69" t="s">
        <v>270</v>
      </c>
      <c r="CO50" s="69">
        <v>1</v>
      </c>
      <c r="CP50" s="69" t="s">
        <v>270</v>
      </c>
      <c r="CQ50" s="69" t="s">
        <v>270</v>
      </c>
      <c r="CR50" s="69">
        <v>1</v>
      </c>
      <c r="CS50" s="69" t="s">
        <v>270</v>
      </c>
      <c r="CT50" s="69" t="s">
        <v>270</v>
      </c>
      <c r="CU50" s="72">
        <v>1</v>
      </c>
    </row>
    <row r="51" spans="1:99" ht="110.25">
      <c r="A51" s="16" t="s">
        <v>211</v>
      </c>
      <c r="B51" s="9" t="s">
        <v>212</v>
      </c>
      <c r="C51" s="7"/>
      <c r="D51" s="9"/>
      <c r="E51" s="9"/>
      <c r="F51" s="9"/>
      <c r="G51" s="65" t="s">
        <v>269</v>
      </c>
      <c r="H51" s="65" t="s">
        <v>269</v>
      </c>
      <c r="I51" s="65"/>
      <c r="J51" s="65" t="s">
        <v>269</v>
      </c>
      <c r="K51" s="65" t="s">
        <v>269</v>
      </c>
      <c r="L51" s="65"/>
      <c r="M51" s="65" t="s">
        <v>269</v>
      </c>
      <c r="N51" s="65" t="s">
        <v>269</v>
      </c>
      <c r="O51" s="65"/>
      <c r="P51" s="64"/>
      <c r="Q51" s="64"/>
      <c r="R51" s="64"/>
      <c r="S51" s="64" t="s">
        <v>270</v>
      </c>
      <c r="T51" s="64" t="s">
        <v>271</v>
      </c>
      <c r="U51" s="64">
        <v>-3</v>
      </c>
      <c r="V51" s="69" t="s">
        <v>271</v>
      </c>
      <c r="W51" s="64" t="s">
        <v>270</v>
      </c>
      <c r="X51" s="64"/>
      <c r="Y51" s="64" t="s">
        <v>270</v>
      </c>
      <c r="Z51" s="64" t="s">
        <v>270</v>
      </c>
      <c r="AA51" s="64"/>
      <c r="AB51" s="69" t="s">
        <v>270</v>
      </c>
      <c r="AC51" s="69" t="s">
        <v>270</v>
      </c>
      <c r="AD51" s="69"/>
      <c r="AE51" s="69" t="s">
        <v>270</v>
      </c>
      <c r="AF51" s="69" t="s">
        <v>270</v>
      </c>
      <c r="AG51" s="69"/>
      <c r="AH51" s="69" t="s">
        <v>270</v>
      </c>
      <c r="AI51" s="69" t="s">
        <v>270</v>
      </c>
      <c r="AJ51" s="69"/>
      <c r="AK51" s="63"/>
      <c r="AL51" s="69"/>
      <c r="AM51" s="69"/>
      <c r="AN51" s="69" t="s">
        <v>270</v>
      </c>
      <c r="AO51" s="69" t="s">
        <v>270</v>
      </c>
      <c r="AP51" s="69"/>
      <c r="AQ51" s="69" t="s">
        <v>270</v>
      </c>
      <c r="AR51" s="69" t="s">
        <v>271</v>
      </c>
      <c r="AS51" s="69">
        <v>-3</v>
      </c>
      <c r="AT51" s="69" t="s">
        <v>270</v>
      </c>
      <c r="AU51" s="69" t="s">
        <v>270</v>
      </c>
      <c r="AV51" s="69"/>
      <c r="AW51" s="69" t="s">
        <v>270</v>
      </c>
      <c r="AX51" s="69" t="s">
        <v>270</v>
      </c>
      <c r="AY51" s="69"/>
      <c r="AZ51" s="69" t="s">
        <v>270</v>
      </c>
      <c r="BA51" s="69" t="s">
        <v>270</v>
      </c>
      <c r="BB51" s="69"/>
      <c r="BC51" s="69" t="s">
        <v>270</v>
      </c>
      <c r="BD51" s="69" t="s">
        <v>270</v>
      </c>
      <c r="BE51" s="69"/>
      <c r="BF51" s="69" t="s">
        <v>270</v>
      </c>
      <c r="BG51" s="69" t="s">
        <v>270</v>
      </c>
      <c r="BH51" s="69"/>
      <c r="BI51" s="69" t="s">
        <v>270</v>
      </c>
      <c r="BJ51" s="69" t="s">
        <v>270</v>
      </c>
      <c r="BK51" s="69"/>
      <c r="BL51" s="69" t="s">
        <v>270</v>
      </c>
      <c r="BM51" s="69" t="s">
        <v>270</v>
      </c>
      <c r="BN51" s="69"/>
      <c r="BO51" s="69" t="s">
        <v>270</v>
      </c>
      <c r="BP51" s="69" t="s">
        <v>270</v>
      </c>
      <c r="BQ51" s="69"/>
      <c r="BR51" s="69" t="s">
        <v>270</v>
      </c>
      <c r="BS51" s="69" t="s">
        <v>270</v>
      </c>
      <c r="BT51" s="69"/>
      <c r="BU51" s="69" t="s">
        <v>270</v>
      </c>
      <c r="BV51" s="69" t="s">
        <v>270</v>
      </c>
      <c r="BW51" s="69"/>
      <c r="BX51" s="69" t="s">
        <v>270</v>
      </c>
      <c r="BY51" s="69" t="s">
        <v>270</v>
      </c>
      <c r="BZ51" s="69"/>
      <c r="CA51" s="69" t="s">
        <v>270</v>
      </c>
      <c r="CB51" s="69" t="s">
        <v>270</v>
      </c>
      <c r="CC51" s="69"/>
      <c r="CD51" s="69" t="s">
        <v>270</v>
      </c>
      <c r="CE51" s="69" t="s">
        <v>270</v>
      </c>
      <c r="CF51" s="69"/>
      <c r="CG51" s="69" t="s">
        <v>270</v>
      </c>
      <c r="CH51" s="69" t="s">
        <v>270</v>
      </c>
      <c r="CI51" s="69"/>
      <c r="CJ51" s="69" t="s">
        <v>270</v>
      </c>
      <c r="CK51" s="69" t="s">
        <v>270</v>
      </c>
      <c r="CL51" s="69"/>
      <c r="CM51" s="69" t="s">
        <v>270</v>
      </c>
      <c r="CN51" s="69" t="s">
        <v>270</v>
      </c>
      <c r="CO51" s="69"/>
      <c r="CP51" s="69" t="s">
        <v>270</v>
      </c>
      <c r="CQ51" s="69" t="s">
        <v>270</v>
      </c>
      <c r="CR51" s="69"/>
      <c r="CS51" s="69" t="s">
        <v>270</v>
      </c>
      <c r="CT51" s="69" t="s">
        <v>270</v>
      </c>
      <c r="CU51" s="13"/>
    </row>
    <row r="52" spans="1:99" ht="47.25">
      <c r="A52" s="16" t="s">
        <v>213</v>
      </c>
      <c r="B52" s="9" t="s">
        <v>214</v>
      </c>
      <c r="C52" s="7" t="s">
        <v>4</v>
      </c>
      <c r="D52" s="9"/>
      <c r="E52" s="9"/>
      <c r="F52" s="9"/>
      <c r="G52" s="55">
        <v>0</v>
      </c>
      <c r="H52" s="55">
        <v>0</v>
      </c>
      <c r="I52" s="55"/>
      <c r="J52" s="55">
        <v>0</v>
      </c>
      <c r="K52" s="55">
        <v>0</v>
      </c>
      <c r="L52" s="55"/>
      <c r="M52" s="55">
        <v>0</v>
      </c>
      <c r="N52" s="55">
        <v>0</v>
      </c>
      <c r="O52" s="55"/>
      <c r="P52" s="32">
        <v>0</v>
      </c>
      <c r="Q52" s="32">
        <v>0</v>
      </c>
      <c r="R52" s="32"/>
      <c r="S52" s="32">
        <v>0</v>
      </c>
      <c r="T52" s="32">
        <v>0</v>
      </c>
      <c r="U52" s="32"/>
      <c r="V52" s="32">
        <v>0</v>
      </c>
      <c r="W52" s="32">
        <v>16.5</v>
      </c>
      <c r="X52" s="32">
        <v>-3</v>
      </c>
      <c r="Y52" s="63">
        <v>0</v>
      </c>
      <c r="Z52" s="63">
        <v>0</v>
      </c>
      <c r="AA52" s="63"/>
      <c r="AB52" s="63">
        <v>36.4</v>
      </c>
      <c r="AC52" s="63">
        <v>0</v>
      </c>
      <c r="AD52" s="63"/>
      <c r="AE52" s="63">
        <v>0</v>
      </c>
      <c r="AF52" s="63">
        <v>0</v>
      </c>
      <c r="AG52" s="63"/>
      <c r="AH52" s="63">
        <v>0</v>
      </c>
      <c r="AI52" s="63">
        <v>0</v>
      </c>
      <c r="AJ52" s="63"/>
      <c r="AK52" s="63"/>
      <c r="AL52" s="63"/>
      <c r="AM52" s="63"/>
      <c r="AN52" s="63">
        <v>0</v>
      </c>
      <c r="AO52" s="63">
        <v>0</v>
      </c>
      <c r="AP52" s="63"/>
      <c r="AQ52" s="63">
        <v>0</v>
      </c>
      <c r="AR52" s="63">
        <v>0</v>
      </c>
      <c r="AS52" s="63"/>
      <c r="AT52" s="32">
        <v>5.5</v>
      </c>
      <c r="AU52" s="32">
        <v>5.5</v>
      </c>
      <c r="AV52" s="32">
        <v>-3</v>
      </c>
      <c r="AW52" s="32">
        <v>0</v>
      </c>
      <c r="AX52" s="32">
        <v>0</v>
      </c>
      <c r="AY52" s="32"/>
      <c r="AZ52" s="32">
        <v>0</v>
      </c>
      <c r="BA52" s="32">
        <v>0</v>
      </c>
      <c r="BB52" s="32"/>
      <c r="BC52" s="32">
        <v>0</v>
      </c>
      <c r="BD52" s="32">
        <v>0</v>
      </c>
      <c r="BE52" s="32"/>
      <c r="BF52" s="32">
        <v>0</v>
      </c>
      <c r="BG52" s="32">
        <v>0</v>
      </c>
      <c r="BH52" s="32"/>
      <c r="BI52" s="32">
        <v>0</v>
      </c>
      <c r="BJ52" s="32">
        <v>0</v>
      </c>
      <c r="BK52" s="32"/>
      <c r="BL52" s="32">
        <v>0</v>
      </c>
      <c r="BM52" s="32">
        <v>0</v>
      </c>
      <c r="BN52" s="32"/>
      <c r="BO52" s="32">
        <v>0</v>
      </c>
      <c r="BP52" s="32">
        <v>0</v>
      </c>
      <c r="BQ52" s="32"/>
      <c r="BR52" s="32">
        <v>0</v>
      </c>
      <c r="BS52" s="32">
        <v>0</v>
      </c>
      <c r="BT52" s="32"/>
      <c r="BU52" s="32">
        <v>0</v>
      </c>
      <c r="BV52" s="32">
        <v>0</v>
      </c>
      <c r="BW52" s="32"/>
      <c r="BX52" s="32">
        <v>0</v>
      </c>
      <c r="BY52" s="32">
        <v>0</v>
      </c>
      <c r="BZ52" s="32"/>
      <c r="CA52" s="32">
        <v>0</v>
      </c>
      <c r="CB52" s="32">
        <v>0</v>
      </c>
      <c r="CC52" s="32"/>
      <c r="CD52" s="32">
        <v>0</v>
      </c>
      <c r="CE52" s="32">
        <v>0</v>
      </c>
      <c r="CF52" s="32"/>
      <c r="CG52" s="32">
        <v>0</v>
      </c>
      <c r="CH52" s="32">
        <v>0</v>
      </c>
      <c r="CI52" s="32"/>
      <c r="CJ52" s="32">
        <v>0</v>
      </c>
      <c r="CK52" s="32">
        <v>0</v>
      </c>
      <c r="CL52" s="32"/>
      <c r="CM52" s="32">
        <v>0</v>
      </c>
      <c r="CN52" s="32">
        <v>0</v>
      </c>
      <c r="CO52" s="32"/>
      <c r="CP52" s="32">
        <v>0</v>
      </c>
      <c r="CQ52" s="32">
        <v>0</v>
      </c>
      <c r="CR52" s="32"/>
      <c r="CS52" s="32">
        <v>0</v>
      </c>
      <c r="CT52" s="32">
        <v>0</v>
      </c>
      <c r="CU52" s="13"/>
    </row>
    <row r="53" spans="1:99" ht="47.25">
      <c r="A53" s="16" t="s">
        <v>215</v>
      </c>
      <c r="B53" s="9" t="s">
        <v>216</v>
      </c>
      <c r="C53" s="7" t="s">
        <v>217</v>
      </c>
      <c r="D53" s="9"/>
      <c r="E53" s="9"/>
      <c r="F53" s="9"/>
      <c r="G53" s="55">
        <v>0</v>
      </c>
      <c r="H53" s="55">
        <v>0</v>
      </c>
      <c r="I53" s="55"/>
      <c r="J53" s="55">
        <v>0</v>
      </c>
      <c r="K53" s="55">
        <v>0</v>
      </c>
      <c r="L53" s="55"/>
      <c r="M53" s="55">
        <v>0</v>
      </c>
      <c r="N53" s="55">
        <v>0</v>
      </c>
      <c r="O53" s="55"/>
      <c r="P53" s="32"/>
      <c r="Q53" s="32"/>
      <c r="R53" s="32"/>
      <c r="S53" s="32">
        <v>0</v>
      </c>
      <c r="T53" s="32">
        <v>0</v>
      </c>
      <c r="U53" s="32"/>
      <c r="V53" s="32">
        <v>0</v>
      </c>
      <c r="W53" s="32">
        <v>0</v>
      </c>
      <c r="X53" s="32"/>
      <c r="Y53" s="63">
        <v>0</v>
      </c>
      <c r="Z53" s="63">
        <v>1</v>
      </c>
      <c r="AA53" s="63"/>
      <c r="AB53" s="63">
        <v>0</v>
      </c>
      <c r="AC53" s="63">
        <v>0</v>
      </c>
      <c r="AD53" s="63"/>
      <c r="AE53" s="63">
        <v>0</v>
      </c>
      <c r="AF53" s="63">
        <v>0</v>
      </c>
      <c r="AG53" s="63"/>
      <c r="AH53" s="63">
        <v>0</v>
      </c>
      <c r="AI53" s="63">
        <v>0</v>
      </c>
      <c r="AJ53" s="63"/>
      <c r="AK53" s="63"/>
      <c r="AL53" s="63"/>
      <c r="AM53" s="63"/>
      <c r="AN53" s="63">
        <v>1</v>
      </c>
      <c r="AO53" s="63">
        <v>0</v>
      </c>
      <c r="AP53" s="63"/>
      <c r="AQ53" s="63">
        <v>0</v>
      </c>
      <c r="AR53" s="63">
        <v>0</v>
      </c>
      <c r="AS53" s="63"/>
      <c r="AT53" s="32">
        <v>0</v>
      </c>
      <c r="AU53" s="32">
        <v>0</v>
      </c>
      <c r="AV53" s="32"/>
      <c r="AW53" s="32">
        <v>0</v>
      </c>
      <c r="AX53" s="32">
        <v>0</v>
      </c>
      <c r="AY53" s="32"/>
      <c r="AZ53" s="32">
        <v>0</v>
      </c>
      <c r="BA53" s="32">
        <v>0</v>
      </c>
      <c r="BB53" s="32"/>
      <c r="BC53" s="32">
        <v>0</v>
      </c>
      <c r="BD53" s="32">
        <v>0</v>
      </c>
      <c r="BE53" s="32"/>
      <c r="BF53" s="32">
        <v>0</v>
      </c>
      <c r="BG53" s="32">
        <v>0</v>
      </c>
      <c r="BH53" s="32"/>
      <c r="BI53" s="32">
        <v>0</v>
      </c>
      <c r="BJ53" s="32">
        <v>0</v>
      </c>
      <c r="BK53" s="32"/>
      <c r="BL53" s="32">
        <v>0</v>
      </c>
      <c r="BM53" s="32">
        <v>0</v>
      </c>
      <c r="BN53" s="32"/>
      <c r="BO53" s="32">
        <v>0</v>
      </c>
      <c r="BP53" s="32">
        <v>0</v>
      </c>
      <c r="BQ53" s="32"/>
      <c r="BR53" s="32">
        <v>0</v>
      </c>
      <c r="BS53" s="32">
        <v>0</v>
      </c>
      <c r="BT53" s="32"/>
      <c r="BU53" s="32">
        <v>0</v>
      </c>
      <c r="BV53" s="32">
        <v>0</v>
      </c>
      <c r="BW53" s="32"/>
      <c r="BX53" s="32">
        <v>0</v>
      </c>
      <c r="BY53" s="32">
        <v>0</v>
      </c>
      <c r="BZ53" s="32"/>
      <c r="CA53" s="32">
        <v>0</v>
      </c>
      <c r="CB53" s="32">
        <v>0</v>
      </c>
      <c r="CC53" s="32"/>
      <c r="CD53" s="32">
        <v>0</v>
      </c>
      <c r="CE53" s="32">
        <v>0</v>
      </c>
      <c r="CF53" s="32"/>
      <c r="CG53" s="32">
        <v>0</v>
      </c>
      <c r="CH53" s="32">
        <v>0</v>
      </c>
      <c r="CI53" s="32"/>
      <c r="CJ53" s="32">
        <v>0</v>
      </c>
      <c r="CK53" s="32">
        <v>0</v>
      </c>
      <c r="CL53" s="32"/>
      <c r="CM53" s="32">
        <v>0</v>
      </c>
      <c r="CN53" s="32">
        <v>0</v>
      </c>
      <c r="CO53" s="32"/>
      <c r="CP53" s="32">
        <v>0</v>
      </c>
      <c r="CQ53" s="32">
        <v>0</v>
      </c>
      <c r="CR53" s="32"/>
      <c r="CS53" s="32">
        <v>0</v>
      </c>
      <c r="CT53" s="32">
        <v>0</v>
      </c>
      <c r="CU53" s="13"/>
    </row>
    <row r="54" spans="1:99" ht="15.75">
      <c r="A54" s="16" t="s">
        <v>218</v>
      </c>
      <c r="B54" s="9" t="s">
        <v>219</v>
      </c>
      <c r="C54" s="7" t="s">
        <v>4</v>
      </c>
      <c r="D54" s="9"/>
      <c r="E54" s="9"/>
      <c r="F54" s="9"/>
      <c r="G54" s="55"/>
      <c r="H54" s="55"/>
      <c r="I54" s="55"/>
      <c r="J54" s="55"/>
      <c r="K54" s="55"/>
      <c r="L54" s="55"/>
      <c r="M54" s="55">
        <v>0</v>
      </c>
      <c r="N54" s="55">
        <v>0</v>
      </c>
      <c r="O54" s="55"/>
      <c r="P54" s="32"/>
      <c r="Q54" s="32"/>
      <c r="R54" s="32"/>
      <c r="S54" s="32"/>
      <c r="T54" s="32"/>
      <c r="U54" s="32"/>
      <c r="V54" s="32"/>
      <c r="W54" s="32"/>
      <c r="X54" s="32"/>
      <c r="Y54" s="70">
        <f>школы!K60</f>
        <v>5353.107207516521</v>
      </c>
      <c r="Z54" s="70">
        <f>школы!L60</f>
        <v>6174.129629087578</v>
      </c>
      <c r="AA54" s="70">
        <v>-5</v>
      </c>
      <c r="AB54" s="70">
        <f>школы!N60</f>
        <v>13842.063968049333</v>
      </c>
      <c r="AC54" s="70">
        <f>школы!O60</f>
        <v>17196.202282002665</v>
      </c>
      <c r="AD54" s="70">
        <v>-5</v>
      </c>
      <c r="AE54" s="70">
        <f>школы!Q60</f>
        <v>5202.513855333333</v>
      </c>
      <c r="AF54" s="70">
        <f>школы!R60</f>
        <v>6606.580082837679</v>
      </c>
      <c r="AG54" s="70">
        <v>-5</v>
      </c>
      <c r="AH54" s="70">
        <f>школы!T60</f>
        <v>5042.905588136728</v>
      </c>
      <c r="AI54" s="70">
        <f>школы!U60</f>
        <v>5179.196791439999</v>
      </c>
      <c r="AJ54" s="70">
        <v>-5</v>
      </c>
      <c r="AK54" s="70"/>
      <c r="AL54" s="70"/>
      <c r="AM54" s="70"/>
      <c r="AN54" s="70">
        <f>школы!Z30</f>
        <v>0</v>
      </c>
      <c r="AO54" s="70">
        <f>школы!AA30</f>
        <v>0</v>
      </c>
      <c r="AP54" s="70"/>
      <c r="AQ54" s="70">
        <f>'Доп.обр.'!Q20</f>
        <v>337.7746478873239</v>
      </c>
      <c r="AR54" s="70">
        <f>'Доп.обр.'!R20</f>
        <v>255.31357466063346</v>
      </c>
      <c r="AS54" s="70">
        <v>-5</v>
      </c>
      <c r="AT54" s="32">
        <f>'Доп.обр.'!W20</f>
        <v>0</v>
      </c>
      <c r="AU54" s="32">
        <f>'Доп.обр.'!X20</f>
        <v>0</v>
      </c>
      <c r="AV54" s="32"/>
      <c r="AW54" s="37">
        <f>'Доп.обр.'!T20</f>
        <v>46.87703016241299</v>
      </c>
      <c r="AX54" s="37">
        <f>'Доп.обр.'!U20</f>
        <v>0</v>
      </c>
      <c r="AY54" s="37"/>
      <c r="AZ54" s="37">
        <f>'Доп.обр.'!Z20</f>
        <v>379.2130546623794</v>
      </c>
      <c r="BA54" s="37">
        <f>'Доп.обр.'!AA20</f>
        <v>0</v>
      </c>
      <c r="BB54" s="37"/>
      <c r="BC54" s="37">
        <f>'Дошк.'!R28</f>
        <v>0</v>
      </c>
      <c r="BD54" s="37">
        <f>'Дошк.'!S28</f>
        <v>0</v>
      </c>
      <c r="BE54" s="37"/>
      <c r="BF54" s="37">
        <f>'Дошк.'!AJ28</f>
        <v>0</v>
      </c>
      <c r="BG54" s="37">
        <f>'Дошк.'!AK28</f>
        <v>0</v>
      </c>
      <c r="BH54" s="37"/>
      <c r="BI54" s="37">
        <f>'Дошк.'!L28</f>
        <v>0</v>
      </c>
      <c r="BJ54" s="37">
        <f>'Дошк.'!M28</f>
        <v>0</v>
      </c>
      <c r="BK54" s="37"/>
      <c r="BL54" s="37">
        <f>'Дошк.'!AS28</f>
        <v>0</v>
      </c>
      <c r="BM54" s="37">
        <f>'Дошк.'!AT28</f>
        <v>165.63333333333273</v>
      </c>
      <c r="BN54" s="37">
        <v>-5</v>
      </c>
      <c r="BO54" s="37">
        <f>'Дошк.'!U28</f>
        <v>0</v>
      </c>
      <c r="BP54" s="37">
        <f>'Дошк.'!V28</f>
        <v>0</v>
      </c>
      <c r="BQ54" s="37"/>
      <c r="BR54" s="37">
        <f>'Дошк.'!AM28</f>
        <v>669.8831632653062</v>
      </c>
      <c r="BS54" s="37">
        <f>'Дошк.'!AN28</f>
        <v>1157.1281105990784</v>
      </c>
      <c r="BT54" s="37">
        <v>-5</v>
      </c>
      <c r="BU54" s="37">
        <f>'Дошк.'!AG28</f>
        <v>0</v>
      </c>
      <c r="BV54" s="37">
        <f>'Дошк.'!AH28</f>
        <v>1012.3333333333334</v>
      </c>
      <c r="BW54" s="37">
        <v>-5</v>
      </c>
      <c r="BX54" s="37">
        <f>'Дошк.'!AV28</f>
        <v>0</v>
      </c>
      <c r="BY54" s="37">
        <f>'Дошк.'!AW28</f>
        <v>0</v>
      </c>
      <c r="BZ54" s="37"/>
      <c r="CA54" s="37">
        <f>'Дошк.'!AP28</f>
        <v>0</v>
      </c>
      <c r="CB54" s="37">
        <f>'Дошк.'!AQ28</f>
        <v>0</v>
      </c>
      <c r="CC54" s="37"/>
      <c r="CD54" s="37">
        <f>'Дошк.'!AD28</f>
        <v>95.09448818897638</v>
      </c>
      <c r="CE54" s="37">
        <f>'Дошк.'!AE28</f>
        <v>0</v>
      </c>
      <c r="CF54" s="37"/>
      <c r="CG54" s="37">
        <f>'Дошк.'!O28</f>
        <v>0</v>
      </c>
      <c r="CH54" s="37">
        <f>'Дошк.'!P28</f>
        <v>0</v>
      </c>
      <c r="CI54" s="37"/>
      <c r="CJ54" s="37">
        <f>'Дошк.'!X28</f>
        <v>2049.971119133574</v>
      </c>
      <c r="CK54" s="37">
        <f>'Дошк.'!Y28</f>
        <v>0</v>
      </c>
      <c r="CL54" s="37"/>
      <c r="CM54" s="37">
        <f>'Дошк.'!AA28</f>
        <v>0</v>
      </c>
      <c r="CN54" s="37">
        <f>'Дошк.'!AB28</f>
        <v>0</v>
      </c>
      <c r="CO54" s="37"/>
      <c r="CP54" s="32">
        <f>'Доп.обр.'!N20</f>
        <v>0</v>
      </c>
      <c r="CQ54" s="37">
        <f>'Доп.обр.'!O20</f>
        <v>431.9752066115703</v>
      </c>
      <c r="CR54" s="37">
        <v>-5</v>
      </c>
      <c r="CS54" s="32">
        <f>'Доп.обр.'!K20</f>
        <v>0</v>
      </c>
      <c r="CT54" s="37">
        <f>'Доп.обр.'!L20</f>
        <v>297.0254658385093</v>
      </c>
      <c r="CU54" s="13">
        <v>-5</v>
      </c>
    </row>
    <row r="55" spans="1:99" ht="31.5">
      <c r="A55" s="16" t="s">
        <v>220</v>
      </c>
      <c r="B55" s="9" t="s">
        <v>221</v>
      </c>
      <c r="C55" s="7"/>
      <c r="D55" s="9"/>
      <c r="E55" s="9"/>
      <c r="F55" s="9"/>
      <c r="G55" s="64" t="s">
        <v>270</v>
      </c>
      <c r="H55" s="64" t="s">
        <v>270</v>
      </c>
      <c r="I55" s="64"/>
      <c r="J55" s="64" t="s">
        <v>270</v>
      </c>
      <c r="K55" s="64" t="s">
        <v>270</v>
      </c>
      <c r="L55" s="64"/>
      <c r="M55" s="64" t="s">
        <v>270</v>
      </c>
      <c r="N55" s="64" t="s">
        <v>270</v>
      </c>
      <c r="O55" s="64"/>
      <c r="P55" s="64"/>
      <c r="Q55" s="64"/>
      <c r="R55" s="64"/>
      <c r="S55" s="64" t="s">
        <v>270</v>
      </c>
      <c r="T55" s="64" t="s">
        <v>270</v>
      </c>
      <c r="U55" s="64"/>
      <c r="V55" s="64" t="s">
        <v>270</v>
      </c>
      <c r="W55" s="64" t="s">
        <v>270</v>
      </c>
      <c r="X55" s="64"/>
      <c r="Y55" s="64" t="s">
        <v>270</v>
      </c>
      <c r="Z55" s="64" t="s">
        <v>270</v>
      </c>
      <c r="AA55" s="64"/>
      <c r="AB55" s="69" t="s">
        <v>270</v>
      </c>
      <c r="AC55" s="69" t="s">
        <v>270</v>
      </c>
      <c r="AD55" s="69"/>
      <c r="AE55" s="69" t="s">
        <v>270</v>
      </c>
      <c r="AF55" s="69" t="s">
        <v>270</v>
      </c>
      <c r="AG55" s="69"/>
      <c r="AH55" s="69" t="s">
        <v>270</v>
      </c>
      <c r="AI55" s="69" t="s">
        <v>270</v>
      </c>
      <c r="AJ55" s="69"/>
      <c r="AK55" s="63"/>
      <c r="AL55" s="69"/>
      <c r="AM55" s="69"/>
      <c r="AN55" s="69" t="s">
        <v>270</v>
      </c>
      <c r="AO55" s="69" t="s">
        <v>270</v>
      </c>
      <c r="AP55" s="69"/>
      <c r="AQ55" s="69" t="s">
        <v>270</v>
      </c>
      <c r="AR55" s="69" t="s">
        <v>270</v>
      </c>
      <c r="AS55" s="69"/>
      <c r="AT55" s="69" t="s">
        <v>270</v>
      </c>
      <c r="AU55" s="69" t="s">
        <v>270</v>
      </c>
      <c r="AV55" s="69"/>
      <c r="AW55" s="69" t="s">
        <v>270</v>
      </c>
      <c r="AX55" s="69" t="s">
        <v>270</v>
      </c>
      <c r="AY55" s="69"/>
      <c r="AZ55" s="69" t="s">
        <v>270</v>
      </c>
      <c r="BA55" s="69" t="s">
        <v>270</v>
      </c>
      <c r="BB55" s="69"/>
      <c r="BC55" s="69" t="s">
        <v>270</v>
      </c>
      <c r="BD55" s="69" t="s">
        <v>270</v>
      </c>
      <c r="BE55" s="69"/>
      <c r="BF55" s="69" t="s">
        <v>270</v>
      </c>
      <c r="BG55" s="69" t="s">
        <v>270</v>
      </c>
      <c r="BH55" s="69"/>
      <c r="BI55" s="69" t="s">
        <v>270</v>
      </c>
      <c r="BJ55" s="69" t="s">
        <v>270</v>
      </c>
      <c r="BK55" s="69"/>
      <c r="BL55" s="69" t="s">
        <v>270</v>
      </c>
      <c r="BM55" s="69" t="s">
        <v>270</v>
      </c>
      <c r="BN55" s="69"/>
      <c r="BO55" s="69" t="s">
        <v>270</v>
      </c>
      <c r="BP55" s="69" t="s">
        <v>270</v>
      </c>
      <c r="BQ55" s="69"/>
      <c r="BR55" s="69" t="s">
        <v>270</v>
      </c>
      <c r="BS55" s="69" t="s">
        <v>270</v>
      </c>
      <c r="BT55" s="69"/>
      <c r="BU55" s="69" t="s">
        <v>270</v>
      </c>
      <c r="BV55" s="69" t="s">
        <v>270</v>
      </c>
      <c r="BW55" s="69"/>
      <c r="BX55" s="69" t="s">
        <v>270</v>
      </c>
      <c r="BY55" s="69" t="s">
        <v>270</v>
      </c>
      <c r="BZ55" s="69"/>
      <c r="CA55" s="69" t="s">
        <v>270</v>
      </c>
      <c r="CB55" s="69" t="s">
        <v>270</v>
      </c>
      <c r="CC55" s="69"/>
      <c r="CD55" s="69" t="s">
        <v>270</v>
      </c>
      <c r="CE55" s="69" t="s">
        <v>270</v>
      </c>
      <c r="CF55" s="69"/>
      <c r="CG55" s="69" t="s">
        <v>270</v>
      </c>
      <c r="CH55" s="69" t="s">
        <v>270</v>
      </c>
      <c r="CI55" s="69"/>
      <c r="CJ55" s="69" t="s">
        <v>270</v>
      </c>
      <c r="CK55" s="69" t="s">
        <v>270</v>
      </c>
      <c r="CL55" s="69"/>
      <c r="CM55" s="69" t="s">
        <v>270</v>
      </c>
      <c r="CN55" s="69" t="s">
        <v>270</v>
      </c>
      <c r="CO55" s="69"/>
      <c r="CP55" s="69" t="s">
        <v>270</v>
      </c>
      <c r="CQ55" s="69" t="s">
        <v>270</v>
      </c>
      <c r="CR55" s="69"/>
      <c r="CS55" s="69" t="s">
        <v>270</v>
      </c>
      <c r="CT55" s="69" t="s">
        <v>270</v>
      </c>
      <c r="CU55" s="13"/>
    </row>
    <row r="56" spans="9:99" ht="15.75">
      <c r="I56" s="54">
        <f>SUM(I5:I55)</f>
        <v>5</v>
      </c>
      <c r="L56" s="54">
        <f>SUM(L5:L55)</f>
        <v>16</v>
      </c>
      <c r="O56" s="54">
        <f>SUM(O5:O55)</f>
        <v>5</v>
      </c>
      <c r="R56" s="54">
        <f>SUM(R5:R55)</f>
        <v>0</v>
      </c>
      <c r="U56" s="54">
        <f>SUM(U5:U55)</f>
        <v>19</v>
      </c>
      <c r="X56" s="54">
        <f>SUM(X5:X55)</f>
        <v>8</v>
      </c>
      <c r="AA56" s="54">
        <f>SUM(AA5:AA55)</f>
        <v>62</v>
      </c>
      <c r="AD56" s="54">
        <f>SUM(AD5:AD55)</f>
        <v>27</v>
      </c>
      <c r="AG56" s="54">
        <f>SUM(AG5:AG55)</f>
        <v>21</v>
      </c>
      <c r="AJ56" s="54">
        <f>SUM(AJ5:AJ55)</f>
        <v>2</v>
      </c>
      <c r="AM56" s="54">
        <f>SUM(AM5:AM55)</f>
        <v>0</v>
      </c>
      <c r="AP56" s="54">
        <f>SUM(AP5:AP55)</f>
        <v>34</v>
      </c>
      <c r="AS56" s="54">
        <f>SUM(AS5:AS55)</f>
        <v>27</v>
      </c>
      <c r="AV56" s="54">
        <f>SUM(AV5:AV55)</f>
        <v>41</v>
      </c>
      <c r="AY56" s="54">
        <f>SUM(AY5:AY55)</f>
        <v>14</v>
      </c>
      <c r="BB56" s="54">
        <f>SUM(BB5:BB55)</f>
        <v>20</v>
      </c>
      <c r="BE56" s="54">
        <f>SUM(BE5:BE55)</f>
        <v>4</v>
      </c>
      <c r="BH56" s="54">
        <f>SUM(BH5:BH55)</f>
        <v>14</v>
      </c>
      <c r="BK56" s="54">
        <f>SUM(BK5:BK55)</f>
        <v>32</v>
      </c>
      <c r="BN56" s="54">
        <f>SUM(BN5:BN55)</f>
        <v>-6</v>
      </c>
      <c r="BQ56" s="54">
        <f>SUM(BQ5:BQ55)</f>
        <v>25</v>
      </c>
      <c r="BT56" s="54">
        <f>SUM(BT5:BT55)</f>
        <v>6</v>
      </c>
      <c r="BW56" s="54">
        <f>SUM(BW5:BW55)</f>
        <v>21</v>
      </c>
      <c r="BZ56" s="54">
        <f>SUM(BZ5:BZ55)</f>
        <v>41</v>
      </c>
      <c r="CC56" s="54">
        <f>SUM(CC5:CC55)</f>
        <v>25</v>
      </c>
      <c r="CF56" s="54">
        <f>SUM(CF5:CF55)</f>
        <v>53</v>
      </c>
      <c r="CI56" s="54">
        <f>SUM(CI5:CI55)</f>
        <v>5</v>
      </c>
      <c r="CL56" s="54">
        <f>SUM(CL5:CL55)</f>
        <v>4</v>
      </c>
      <c r="CO56" s="54">
        <f>SUM(CO5:CO55)</f>
        <v>8</v>
      </c>
      <c r="CR56" s="54">
        <f>SUM(CR5:CR55)</f>
        <v>-3</v>
      </c>
      <c r="CU56" s="35">
        <f>SUM(CU5:CU55)</f>
        <v>51</v>
      </c>
    </row>
    <row r="57" spans="1:5" ht="15.75" customHeight="1">
      <c r="A57" s="76"/>
      <c r="B57" s="76"/>
      <c r="C57" s="76"/>
      <c r="D57" s="76"/>
      <c r="E57" s="76"/>
    </row>
    <row r="58" spans="1:5" ht="15.75">
      <c r="A58" s="2"/>
      <c r="B58" s="2"/>
      <c r="C58" s="2"/>
      <c r="D58" s="2"/>
      <c r="E58" s="2"/>
    </row>
    <row r="59" spans="1:5" ht="15.75" customHeight="1">
      <c r="A59" s="76"/>
      <c r="B59" s="76"/>
      <c r="C59" s="76"/>
      <c r="D59" s="76"/>
      <c r="E59" s="76"/>
    </row>
  </sheetData>
  <sheetProtection sheet="1"/>
  <mergeCells count="52">
    <mergeCell ref="CS3:CU3"/>
    <mergeCell ref="AQ3:AS3"/>
    <mergeCell ref="AT3:AV3"/>
    <mergeCell ref="AW3:AY3"/>
    <mergeCell ref="AZ3:BB3"/>
    <mergeCell ref="BC3:BE3"/>
    <mergeCell ref="AB3:AD3"/>
    <mergeCell ref="AE3:AG3"/>
    <mergeCell ref="CG3:CI3"/>
    <mergeCell ref="CJ3:CL3"/>
    <mergeCell ref="CM3:CO3"/>
    <mergeCell ref="CP3:CR3"/>
    <mergeCell ref="BL3:BN3"/>
    <mergeCell ref="BO3:BQ3"/>
    <mergeCell ref="BF3:BH3"/>
    <mergeCell ref="BI3:BK3"/>
    <mergeCell ref="G3:I3"/>
    <mergeCell ref="J3:L3"/>
    <mergeCell ref="M3:O3"/>
    <mergeCell ref="P3:R3"/>
    <mergeCell ref="S3:U3"/>
    <mergeCell ref="V3:X3"/>
    <mergeCell ref="Y3:AA3"/>
    <mergeCell ref="F3:F4"/>
    <mergeCell ref="BR3:BT3"/>
    <mergeCell ref="BU3:BW3"/>
    <mergeCell ref="CD3:CF3"/>
    <mergeCell ref="BX3:BZ3"/>
    <mergeCell ref="CA3:CC3"/>
    <mergeCell ref="AH3:AJ3"/>
    <mergeCell ref="AK3:AM3"/>
    <mergeCell ref="AN3:AP3"/>
    <mergeCell ref="C3:C4"/>
    <mergeCell ref="A59:E59"/>
    <mergeCell ref="A23:A26"/>
    <mergeCell ref="A27:A30"/>
    <mergeCell ref="A32:A35"/>
    <mergeCell ref="A57:E57"/>
    <mergeCell ref="D45:D46"/>
    <mergeCell ref="E45:E46"/>
    <mergeCell ref="D3:D4"/>
    <mergeCell ref="E3:E4"/>
    <mergeCell ref="F45:F46"/>
    <mergeCell ref="A1:F1"/>
    <mergeCell ref="A36:A39"/>
    <mergeCell ref="A40:A44"/>
    <mergeCell ref="C40:C44"/>
    <mergeCell ref="A45:A48"/>
    <mergeCell ref="C45:C46"/>
    <mergeCell ref="A19:A22"/>
    <mergeCell ref="A3:A4"/>
    <mergeCell ref="B3:B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ivakina_ms</dc:creator>
  <cp:keywords/>
  <dc:description/>
  <cp:lastModifiedBy>kuklina_on</cp:lastModifiedBy>
  <cp:lastPrinted>2013-06-26T11:53:33Z</cp:lastPrinted>
  <dcterms:created xsi:type="dcterms:W3CDTF">2012-06-21T04:11:54Z</dcterms:created>
  <dcterms:modified xsi:type="dcterms:W3CDTF">2013-08-01T07:30:29Z</dcterms:modified>
  <cp:category/>
  <cp:version/>
  <cp:contentType/>
  <cp:contentStatus/>
</cp:coreProperties>
</file>